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Y2015 BUDGET OMNIBUS" sheetId="1" r:id="rId1"/>
  </sheets>
  <definedNames>
    <definedName name="_xlnm.Print_Area" localSheetId="0">'Y2015 BUDGET OMNIBUS'!$A$1:$R$335</definedName>
    <definedName name="_xlnm.Print_Titles" localSheetId="0">'Y2015 BUDGET OMNIBUS'!$1:$2</definedName>
  </definedNames>
  <calcPr calcId="125725"/>
</workbook>
</file>

<file path=xl/calcChain.xml><?xml version="1.0" encoding="utf-8"?>
<calcChain xmlns="http://schemas.openxmlformats.org/spreadsheetml/2006/main">
  <c r="M349" i="1"/>
  <c r="K338"/>
  <c r="H336"/>
  <c r="N329"/>
  <c r="M329"/>
  <c r="J329"/>
  <c r="I329"/>
  <c r="H329"/>
  <c r="G329"/>
  <c r="F329"/>
  <c r="E329"/>
  <c r="O325"/>
  <c r="N325"/>
  <c r="M325"/>
  <c r="K325"/>
  <c r="J325"/>
  <c r="I325"/>
  <c r="H325"/>
  <c r="G325"/>
  <c r="F325"/>
  <c r="E325"/>
  <c r="O322"/>
  <c r="O321" s="1"/>
  <c r="N322"/>
  <c r="M322"/>
  <c r="M321" s="1"/>
  <c r="K322"/>
  <c r="J322"/>
  <c r="J321" s="1"/>
  <c r="I322"/>
  <c r="H322"/>
  <c r="H321" s="1"/>
  <c r="G322"/>
  <c r="F322"/>
  <c r="E322"/>
  <c r="E321" s="1"/>
  <c r="O290"/>
  <c r="N289"/>
  <c r="N288" s="1"/>
  <c r="M289"/>
  <c r="M288" s="1"/>
  <c r="K289"/>
  <c r="K288" s="1"/>
  <c r="J289"/>
  <c r="J288" s="1"/>
  <c r="I289"/>
  <c r="I288" s="1"/>
  <c r="H289"/>
  <c r="G289"/>
  <c r="F289"/>
  <c r="F288" s="1"/>
  <c r="E289"/>
  <c r="E288" s="1"/>
  <c r="G288"/>
  <c r="O277"/>
  <c r="N277"/>
  <c r="M277"/>
  <c r="K277"/>
  <c r="J277"/>
  <c r="I277"/>
  <c r="H277"/>
  <c r="G277"/>
  <c r="F277"/>
  <c r="E277"/>
  <c r="O271"/>
  <c r="N271"/>
  <c r="M271"/>
  <c r="K271"/>
  <c r="J271"/>
  <c r="I271"/>
  <c r="H271"/>
  <c r="H270" s="1"/>
  <c r="G271"/>
  <c r="F271"/>
  <c r="E271"/>
  <c r="G257"/>
  <c r="G240"/>
  <c r="G239"/>
  <c r="G238"/>
  <c r="G237"/>
  <c r="O224"/>
  <c r="E224"/>
  <c r="E223" s="1"/>
  <c r="E222" s="1"/>
  <c r="N223"/>
  <c r="N222" s="1"/>
  <c r="M223"/>
  <c r="M222" s="1"/>
  <c r="K223"/>
  <c r="K222" s="1"/>
  <c r="J223"/>
  <c r="J222" s="1"/>
  <c r="I223"/>
  <c r="I222" s="1"/>
  <c r="H223"/>
  <c r="H222" s="1"/>
  <c r="F223"/>
  <c r="F222" s="1"/>
  <c r="O219"/>
  <c r="N218"/>
  <c r="M218"/>
  <c r="K218"/>
  <c r="J218"/>
  <c r="I218"/>
  <c r="H218"/>
  <c r="G218"/>
  <c r="F218"/>
  <c r="E218"/>
  <c r="H215"/>
  <c r="G215"/>
  <c r="O211"/>
  <c r="O210"/>
  <c r="N207"/>
  <c r="M207"/>
  <c r="K207"/>
  <c r="J207"/>
  <c r="I207"/>
  <c r="G207"/>
  <c r="F207"/>
  <c r="E207"/>
  <c r="H205"/>
  <c r="G205"/>
  <c r="G202" s="1"/>
  <c r="O203"/>
  <c r="O202" s="1"/>
  <c r="E203"/>
  <c r="E202" s="1"/>
  <c r="N202"/>
  <c r="M202"/>
  <c r="K202"/>
  <c r="J202"/>
  <c r="I202"/>
  <c r="F202"/>
  <c r="O199"/>
  <c r="N198"/>
  <c r="M198"/>
  <c r="K198"/>
  <c r="J198"/>
  <c r="I198"/>
  <c r="H198"/>
  <c r="G198"/>
  <c r="F198"/>
  <c r="E198"/>
  <c r="H193"/>
  <c r="G193"/>
  <c r="O188"/>
  <c r="H188"/>
  <c r="G188"/>
  <c r="O187"/>
  <c r="O185"/>
  <c r="H184"/>
  <c r="G184"/>
  <c r="O181"/>
  <c r="O178"/>
  <c r="N177"/>
  <c r="N176" s="1"/>
  <c r="M177"/>
  <c r="M176" s="1"/>
  <c r="K177"/>
  <c r="K176" s="1"/>
  <c r="J177"/>
  <c r="J176" s="1"/>
  <c r="I177"/>
  <c r="I176" s="1"/>
  <c r="F177"/>
  <c r="E177"/>
  <c r="E176" s="1"/>
  <c r="F176"/>
  <c r="E174"/>
  <c r="O168"/>
  <c r="O167"/>
  <c r="O166"/>
  <c r="O164"/>
  <c r="N162"/>
  <c r="M162"/>
  <c r="K162"/>
  <c r="J162"/>
  <c r="I162"/>
  <c r="H162"/>
  <c r="G162"/>
  <c r="F162"/>
  <c r="E162"/>
  <c r="O159"/>
  <c r="N156"/>
  <c r="N148" s="1"/>
  <c r="M156"/>
  <c r="O154"/>
  <c r="H154"/>
  <c r="H148" s="1"/>
  <c r="G154"/>
  <c r="O150"/>
  <c r="O148" s="1"/>
  <c r="K148"/>
  <c r="J148"/>
  <c r="I148"/>
  <c r="G148"/>
  <c r="F148"/>
  <c r="E148"/>
  <c r="O138"/>
  <c r="O136"/>
  <c r="N134"/>
  <c r="M134"/>
  <c r="K134"/>
  <c r="J134"/>
  <c r="I134"/>
  <c r="H134"/>
  <c r="G134"/>
  <c r="F134"/>
  <c r="E134"/>
  <c r="E128"/>
  <c r="E127" s="1"/>
  <c r="O127"/>
  <c r="N127"/>
  <c r="M127"/>
  <c r="K127"/>
  <c r="K126" s="1"/>
  <c r="J127"/>
  <c r="J126" s="1"/>
  <c r="I127"/>
  <c r="I126" s="1"/>
  <c r="H127"/>
  <c r="H126" s="1"/>
  <c r="G127"/>
  <c r="G126" s="1"/>
  <c r="F127"/>
  <c r="F126" s="1"/>
  <c r="O124"/>
  <c r="O120"/>
  <c r="N120"/>
  <c r="M120"/>
  <c r="K120"/>
  <c r="J120"/>
  <c r="I120"/>
  <c r="H120"/>
  <c r="G120"/>
  <c r="F120"/>
  <c r="E120"/>
  <c r="O116"/>
  <c r="N116"/>
  <c r="M116"/>
  <c r="K116"/>
  <c r="J116"/>
  <c r="I116"/>
  <c r="H116"/>
  <c r="G116"/>
  <c r="F116"/>
  <c r="E116"/>
  <c r="E114"/>
  <c r="O111"/>
  <c r="E111"/>
  <c r="E108"/>
  <c r="O107"/>
  <c r="N107"/>
  <c r="N106" s="1"/>
  <c r="M107"/>
  <c r="K107"/>
  <c r="J107"/>
  <c r="J106" s="1"/>
  <c r="I107"/>
  <c r="I106" s="1"/>
  <c r="H107"/>
  <c r="G107"/>
  <c r="F107"/>
  <c r="F106" s="1"/>
  <c r="E107"/>
  <c r="E106" s="1"/>
  <c r="O106"/>
  <c r="M106"/>
  <c r="K106"/>
  <c r="G106"/>
  <c r="O105"/>
  <c r="N102"/>
  <c r="M102"/>
  <c r="K102"/>
  <c r="J102"/>
  <c r="I102"/>
  <c r="H102"/>
  <c r="G102"/>
  <c r="F102"/>
  <c r="E102"/>
  <c r="O97"/>
  <c r="N96"/>
  <c r="M96"/>
  <c r="K96"/>
  <c r="J96"/>
  <c r="I96"/>
  <c r="H96"/>
  <c r="G96"/>
  <c r="F96"/>
  <c r="E96"/>
  <c r="H95"/>
  <c r="G95"/>
  <c r="O94"/>
  <c r="H94"/>
  <c r="G94"/>
  <c r="O88"/>
  <c r="N88"/>
  <c r="M88"/>
  <c r="K88"/>
  <c r="J88"/>
  <c r="I88"/>
  <c r="H88"/>
  <c r="G88"/>
  <c r="F88"/>
  <c r="E88"/>
  <c r="O83"/>
  <c r="O78"/>
  <c r="E75"/>
  <c r="E74"/>
  <c r="E71"/>
  <c r="E69"/>
  <c r="O68"/>
  <c r="E67"/>
  <c r="O65"/>
  <c r="N65"/>
  <c r="M65"/>
  <c r="K65"/>
  <c r="J65"/>
  <c r="I65"/>
  <c r="H65"/>
  <c r="G65"/>
  <c r="F65"/>
  <c r="E58"/>
  <c r="I45"/>
  <c r="O38"/>
  <c r="N38"/>
  <c r="M38"/>
  <c r="K38"/>
  <c r="J38"/>
  <c r="I38"/>
  <c r="H38"/>
  <c r="G38"/>
  <c r="F38"/>
  <c r="E38"/>
  <c r="O35"/>
  <c r="O34"/>
  <c r="O32"/>
  <c r="O31"/>
  <c r="O30"/>
  <c r="O27"/>
  <c r="N24"/>
  <c r="M24"/>
  <c r="K24"/>
  <c r="J24"/>
  <c r="I24"/>
  <c r="H24"/>
  <c r="G24"/>
  <c r="F24"/>
  <c r="E24"/>
  <c r="O21"/>
  <c r="N21"/>
  <c r="M21"/>
  <c r="K21"/>
  <c r="J21"/>
  <c r="I21"/>
  <c r="H21"/>
  <c r="G21"/>
  <c r="F21"/>
  <c r="E21"/>
  <c r="E10"/>
  <c r="O4"/>
  <c r="N4"/>
  <c r="M4"/>
  <c r="K4"/>
  <c r="J4"/>
  <c r="I4"/>
  <c r="I3" s="1"/>
  <c r="H4"/>
  <c r="H3" s="1"/>
  <c r="G4"/>
  <c r="F4"/>
  <c r="F3" s="1"/>
  <c r="E4"/>
  <c r="M3"/>
  <c r="K3"/>
  <c r="G3"/>
  <c r="I197" l="1"/>
  <c r="K197"/>
  <c r="N321"/>
  <c r="G223"/>
  <c r="G222" s="1"/>
  <c r="O289"/>
  <c r="O288" s="1"/>
  <c r="N126"/>
  <c r="O96"/>
  <c r="E126"/>
  <c r="J197"/>
  <c r="M197"/>
  <c r="O198"/>
  <c r="F197"/>
  <c r="O207"/>
  <c r="H177"/>
  <c r="M270"/>
  <c r="O270"/>
  <c r="H202"/>
  <c r="O223"/>
  <c r="O222" s="1"/>
  <c r="E197"/>
  <c r="N197"/>
  <c r="E270"/>
  <c r="J270"/>
  <c r="N270"/>
  <c r="F270"/>
  <c r="G270"/>
  <c r="I270"/>
  <c r="K270"/>
  <c r="F321"/>
  <c r="G321"/>
  <c r="I321"/>
  <c r="K321"/>
  <c r="O102"/>
  <c r="O134"/>
  <c r="J3"/>
  <c r="N3"/>
  <c r="E65"/>
  <c r="E3" s="1"/>
  <c r="G177"/>
  <c r="G176" s="1"/>
  <c r="G197"/>
  <c r="O218"/>
  <c r="I328"/>
  <c r="K332"/>
  <c r="K329" s="1"/>
  <c r="O24"/>
  <c r="H106"/>
  <c r="M148"/>
  <c r="O162"/>
  <c r="H176"/>
  <c r="O177"/>
  <c r="O176" s="1"/>
  <c r="H207"/>
  <c r="H288"/>
  <c r="O197" l="1"/>
  <c r="N328"/>
  <c r="N335" s="1"/>
  <c r="F328"/>
  <c r="F335" s="1"/>
  <c r="K328"/>
  <c r="K335" s="1"/>
  <c r="K340" s="1"/>
  <c r="J328"/>
  <c r="O3"/>
  <c r="E328"/>
  <c r="E335" s="1"/>
  <c r="E340" s="1"/>
  <c r="G328"/>
  <c r="G335" s="1"/>
  <c r="I340"/>
  <c r="I335"/>
  <c r="O126"/>
  <c r="H197"/>
  <c r="H328" s="1"/>
  <c r="M126"/>
  <c r="M328" s="1"/>
  <c r="O328" l="1"/>
  <c r="J335"/>
  <c r="J340"/>
  <c r="H335"/>
  <c r="M335"/>
  <c r="E342" s="1"/>
  <c r="O334"/>
  <c r="O329" l="1"/>
  <c r="O335" s="1"/>
  <c r="O340" s="1"/>
  <c r="L340"/>
  <c r="O343" l="1"/>
  <c r="O346" s="1"/>
  <c r="M343" l="1"/>
  <c r="N340"/>
</calcChain>
</file>

<file path=xl/sharedStrings.xml><?xml version="1.0" encoding="utf-8"?>
<sst xmlns="http://schemas.openxmlformats.org/spreadsheetml/2006/main" count="485" uniqueCount="410">
  <si>
    <t xml:space="preserve">
Y2015
REVENUE(CRF)
N</t>
  </si>
  <si>
    <t xml:space="preserve">
Y2014
REVENUE  DEDICATED 
(RECURRENT) 
N</t>
  </si>
  <si>
    <t>ACTUAL
Jan.-June</t>
  </si>
  <si>
    <t xml:space="preserve">
Y2015
REVENUE  DEDICATED 
(RECURRENT) 
N</t>
  </si>
  <si>
    <t xml:space="preserve">
Y2015
  DEDICATED EXPENDITURE
(RECURRENT)
N </t>
  </si>
  <si>
    <t xml:space="preserve">
Y2014
PERSONNEL COST 
(MOET&amp;P)
N</t>
  </si>
  <si>
    <t xml:space="preserve">
Y2015
PERSONNEL COST 
(MOET&amp;P)
N</t>
  </si>
  <si>
    <t xml:space="preserve">
Y2015
OVERHEAD COST
N</t>
  </si>
  <si>
    <t>Y2015
CAPITAL  RECEIPTS (INFLOW)
N</t>
  </si>
  <si>
    <t>Y2015
CAPITAL DEVELOPMENT (OUTFLOW)
N</t>
  </si>
  <si>
    <t xml:space="preserve">
Y2015
CAPITAL EXPENDITURE
N</t>
  </si>
  <si>
    <t>Y2015
SUBVENTION
N</t>
  </si>
  <si>
    <t>Personnel Cost</t>
  </si>
  <si>
    <t>Overhead Cost</t>
  </si>
  <si>
    <t>Total</t>
  </si>
  <si>
    <t>General Public Services</t>
  </si>
  <si>
    <t>Governance</t>
  </si>
  <si>
    <t>002</t>
  </si>
  <si>
    <t>Cabinet Office</t>
  </si>
  <si>
    <t>032</t>
  </si>
  <si>
    <t>Political and Legislative Power Bureau</t>
  </si>
  <si>
    <t>027</t>
  </si>
  <si>
    <t>Office of the Auditor General for Local Govt.</t>
  </si>
  <si>
    <t>028</t>
  </si>
  <si>
    <t>Office of the State Auditor General.</t>
  </si>
  <si>
    <t>Audit Service Commission</t>
  </si>
  <si>
    <t>022</t>
  </si>
  <si>
    <t>Liaison Office</t>
  </si>
  <si>
    <t>026</t>
  </si>
  <si>
    <t>Deputy Governor's Office</t>
  </si>
  <si>
    <t>One-Year Contract Appointment for 15 Temporary Staff for Deputy Governor &amp; Office of SpecialAdviser on Media</t>
  </si>
  <si>
    <t>070</t>
  </si>
  <si>
    <t>Office of the Chief of Staff</t>
  </si>
  <si>
    <t>Proposed Recruitment of 63 SPY Drivers</t>
  </si>
  <si>
    <t>Recruitment of 5 Cooks, 9 Stewards, 2 Catering Assistants, 2Reservation Officers</t>
  </si>
  <si>
    <t>Project Implementation and Monitoring Unit</t>
  </si>
  <si>
    <t>051</t>
  </si>
  <si>
    <t>Office of Transformation</t>
  </si>
  <si>
    <t>035</t>
  </si>
  <si>
    <t>Secretary to the State Government Office</t>
  </si>
  <si>
    <t>007</t>
  </si>
  <si>
    <t>Office of The Head of Service</t>
  </si>
  <si>
    <t>029</t>
  </si>
  <si>
    <t>Parastatal Monitoring Office</t>
  </si>
  <si>
    <t>House of Assembly</t>
  </si>
  <si>
    <t>019</t>
  </si>
  <si>
    <t>House of Assembly Commission</t>
  </si>
  <si>
    <t>Economic Planning and Budget</t>
  </si>
  <si>
    <t>020</t>
  </si>
  <si>
    <t>Ministry of Economic Planning &amp; Budget(HQ)</t>
  </si>
  <si>
    <t xml:space="preserve">MEPB GOC(Statewide)
</t>
  </si>
  <si>
    <t xml:space="preserve">Completion of On-going LMGDP </t>
  </si>
  <si>
    <t>PAs to EXCO Members</t>
  </si>
  <si>
    <t>Risk Retention Fund</t>
  </si>
  <si>
    <t>State Infrastructure Intervention Fund</t>
  </si>
  <si>
    <t>Counterpart Fund</t>
  </si>
  <si>
    <t>Special Expenditure</t>
  </si>
  <si>
    <t>Hosting of Y2014 Economic Summit</t>
  </si>
  <si>
    <t>Planning Reserve</t>
  </si>
  <si>
    <t>Contingency Fund</t>
  </si>
  <si>
    <t>Staff Housing Fund</t>
  </si>
  <si>
    <t>Provision For Increase in Subvention</t>
  </si>
  <si>
    <t>Establishment and Training</t>
  </si>
  <si>
    <t>040</t>
  </si>
  <si>
    <t>Ministry of Establishments and Training</t>
  </si>
  <si>
    <t>Payment of Allowance to Firemen, Social Welfare Officers in Rehabilitation Centres and Law Enforcement Cadres</t>
  </si>
  <si>
    <t>Global Training Vote</t>
  </si>
  <si>
    <t>DAWN Expenses</t>
  </si>
  <si>
    <t>Personnel Cost Consolidated</t>
  </si>
  <si>
    <t>NYSC/Interns (Allowances)</t>
  </si>
  <si>
    <t>Contingency
(Personnel Cost)</t>
  </si>
  <si>
    <t>7.5% Govt. Share  to Pension Contribution</t>
  </si>
  <si>
    <t>2.5% Govt. Share  to Pension Contribution</t>
  </si>
  <si>
    <t>5% BSA (Pension Redemption Bond Fund)</t>
  </si>
  <si>
    <t>Pension Redemption Bond Fund- Shortfall</t>
  </si>
  <si>
    <t>Pensions and Gratuties (Civil and Teaching Services)</t>
  </si>
  <si>
    <t>142% Pensions and Gratuties (Civil and Teaching Services)-Arrears</t>
  </si>
  <si>
    <t>6% Pensions and Gratuties (Civil and Teaching Services)-Arrears</t>
  </si>
  <si>
    <t>15% Pensions and Gratuties (Civil and Teaching Services)-Arrears</t>
  </si>
  <si>
    <t>Pensions and Gratuties (Judiciary)</t>
  </si>
  <si>
    <t>Retirement Planning/Contingency Expenses (Pensions)</t>
  </si>
  <si>
    <t>Pensions Sinking Fund</t>
  </si>
  <si>
    <t>Severance Pay (Political Office Holders)</t>
  </si>
  <si>
    <t>050</t>
  </si>
  <si>
    <t>Public Service Office</t>
  </si>
  <si>
    <t>PSO (EXCO-PS retreat, Pens down, Vacation Job e.t.c)</t>
  </si>
  <si>
    <t>060</t>
  </si>
  <si>
    <t>Civil Service Commission</t>
  </si>
  <si>
    <t>077</t>
  </si>
  <si>
    <t>Public Service Staff Development Centre</t>
  </si>
  <si>
    <t>Public Service Club</t>
  </si>
  <si>
    <t>003</t>
  </si>
  <si>
    <t>Civil Service Pensions Office</t>
  </si>
  <si>
    <t>Pension Commission</t>
  </si>
  <si>
    <t>Finance</t>
  </si>
  <si>
    <t>011</t>
  </si>
  <si>
    <t>Ministry of Finance</t>
  </si>
  <si>
    <t>Investment Income</t>
  </si>
  <si>
    <t>Ibile Holdings Investment support</t>
  </si>
  <si>
    <t>Lagos State Financial System Management Bureau (FSMB)</t>
  </si>
  <si>
    <t xml:space="preserve"> Oracle Licence</t>
  </si>
  <si>
    <t>012</t>
  </si>
  <si>
    <t>State Treasury Office</t>
  </si>
  <si>
    <t xml:space="preserve">Professional Fees </t>
  </si>
  <si>
    <t>Statutory Allocation</t>
  </si>
  <si>
    <t>Value Added Tax</t>
  </si>
  <si>
    <t>Extra Ordinary Revenue (IGR)</t>
  </si>
  <si>
    <t>Extra Ordinary Revenue (Federal Transfer)</t>
  </si>
  <si>
    <t>052</t>
  </si>
  <si>
    <t xml:space="preserve"> Debt Management Office(HQ)</t>
  </si>
  <si>
    <t>DMO (Outstanding Liabilities)</t>
  </si>
  <si>
    <t>Bond Issue</t>
  </si>
  <si>
    <t>Debt Charges (Internal)</t>
  </si>
  <si>
    <t>Debt Charges (External)</t>
  </si>
  <si>
    <t>Debt Charges(Bond)</t>
  </si>
  <si>
    <t>013</t>
  </si>
  <si>
    <t>Lagos State Internal Revenue Service</t>
  </si>
  <si>
    <t>069</t>
  </si>
  <si>
    <t>Office of Special Adviser on Taxation &amp; Revenue</t>
  </si>
  <si>
    <t>Lagos State Lotteries Board (Operations &amp; rent)</t>
  </si>
  <si>
    <t>Lagos State Lotteries Board (Good Causes; inclusive of N300m for Health &amp; N316m for Education)</t>
  </si>
  <si>
    <t>L/S Public Procurement Agency</t>
  </si>
  <si>
    <t>Information and Strategy</t>
  </si>
  <si>
    <t>015</t>
  </si>
  <si>
    <t>Ministry of Information and Strategy</t>
  </si>
  <si>
    <t>New Media</t>
  </si>
  <si>
    <t>Public Enlightenment</t>
  </si>
  <si>
    <t>Lagos State Printing Corporation</t>
  </si>
  <si>
    <t>Lagos State Records and Archives Bureau</t>
  </si>
  <si>
    <t>Lagos State Broadcasting Corp. (LTV 8)</t>
  </si>
  <si>
    <t>Lagos State Broadcasting Corp. (Eko FM &amp; Radio Lagos)</t>
  </si>
  <si>
    <t>Local Government</t>
  </si>
  <si>
    <t>024</t>
  </si>
  <si>
    <t>Ministry of Local Government/Chieftancy Affairs</t>
  </si>
  <si>
    <t>Special Allowances for Obas</t>
  </si>
  <si>
    <t>025</t>
  </si>
  <si>
    <t>Local Govt. Service Commission</t>
  </si>
  <si>
    <t>062</t>
  </si>
  <si>
    <t>Local Government  Establishment and Pensions</t>
  </si>
  <si>
    <t>Contribution to Local Government</t>
  </si>
  <si>
    <t>Science and Technology</t>
  </si>
  <si>
    <t>049</t>
  </si>
  <si>
    <t>Ministry of Science and Technology</t>
  </si>
  <si>
    <t xml:space="preserve">Payment of software Licence </t>
  </si>
  <si>
    <t>Lagos State Residents Registration Agency (LASRRA)</t>
  </si>
  <si>
    <t>Public Order and Safety</t>
  </si>
  <si>
    <t>Justice</t>
  </si>
  <si>
    <t>017</t>
  </si>
  <si>
    <t>Ministry of Justice</t>
  </si>
  <si>
    <t>Construction of Prisons</t>
  </si>
  <si>
    <t>Police Area Command</t>
  </si>
  <si>
    <t>Lagos State Independent Electoral Commission</t>
  </si>
  <si>
    <t>Office of the Public Defender</t>
  </si>
  <si>
    <t>Citizen Mediation Centre</t>
  </si>
  <si>
    <t>Law Reform Commission</t>
  </si>
  <si>
    <t>Law Enforcement Training Institute (PSSDC)</t>
  </si>
  <si>
    <t>Judiciary</t>
  </si>
  <si>
    <t>021</t>
  </si>
  <si>
    <t>Lagos State High Courts</t>
  </si>
  <si>
    <t>016</t>
  </si>
  <si>
    <t>Judicial Service Commission</t>
  </si>
  <si>
    <t>Multi-Door Court House</t>
  </si>
  <si>
    <t>Special Duties</t>
  </si>
  <si>
    <t>037</t>
  </si>
  <si>
    <t>Ministry of Special Duties</t>
  </si>
  <si>
    <t>Lagos State Emergency Management Authority (LASEMA)</t>
  </si>
  <si>
    <t xml:space="preserve"> Lagos Safety Commission</t>
  </si>
  <si>
    <t>Security/Emergency Intervention</t>
  </si>
  <si>
    <t>Special Duties Expenses (OCOS)</t>
  </si>
  <si>
    <t>Economic Affairs</t>
  </si>
  <si>
    <t>Agriculture and Cooperatives</t>
  </si>
  <si>
    <t>001</t>
  </si>
  <si>
    <t>Ministry of Agriculture and Cooperatives</t>
  </si>
  <si>
    <t>Agric Youth Empowerment Scheme(YES)</t>
  </si>
  <si>
    <t>Lagos State Coconut Development Authority</t>
  </si>
  <si>
    <t>Lagos State Agric Development Authority</t>
  </si>
  <si>
    <t>Lagos State Agric Input Supply Authority</t>
  </si>
  <si>
    <t>Agricultural Land Holding Authority</t>
  </si>
  <si>
    <t>Commerce and Industry</t>
  </si>
  <si>
    <t>004</t>
  </si>
  <si>
    <t>Ministry of Commerce and Industry</t>
  </si>
  <si>
    <t>Lekki Free  Zone</t>
  </si>
  <si>
    <t>065</t>
  </si>
  <si>
    <t>Central Business District</t>
  </si>
  <si>
    <t>075</t>
  </si>
  <si>
    <t xml:space="preserve">Office of Public Private Partnership </t>
  </si>
  <si>
    <t>Lagos State Market Dev. Board</t>
  </si>
  <si>
    <t>044</t>
  </si>
  <si>
    <t>Ministry of Energy &amp; Mineral Resources Dev.</t>
  </si>
  <si>
    <t>Ibile Oil &amp; Gas (IOGAS)</t>
  </si>
  <si>
    <t>Lagos State Electricity Board</t>
  </si>
  <si>
    <t>Rehab / Mtnce of Street Lights</t>
  </si>
  <si>
    <t>LSEB (IPPs)</t>
  </si>
  <si>
    <t>066</t>
  </si>
  <si>
    <t>Ministry of Tourism &amp; Inter-Governmental Relations</t>
  </si>
  <si>
    <t>Black Heritage and Other Festivals</t>
  </si>
  <si>
    <t>Lagos State Film &amp; Video Censors' Board</t>
  </si>
  <si>
    <t>Transportation</t>
  </si>
  <si>
    <t>033</t>
  </si>
  <si>
    <t>Ministry of Transportation</t>
  </si>
  <si>
    <t>Lagos State Drivers' Institute</t>
  </si>
  <si>
    <t xml:space="preserve">Lagos State Traffic Management Agency(LASTMA) </t>
  </si>
  <si>
    <t>068</t>
  </si>
  <si>
    <t>Motor Vehicle Administration Agency</t>
  </si>
  <si>
    <t>MVAA (Consultancy Fees)</t>
  </si>
  <si>
    <t>Lagos State Metropolitan Area Transport Authourity(LAMATA)</t>
  </si>
  <si>
    <t xml:space="preserve">LAMATA ( WB, LMDGP) </t>
  </si>
  <si>
    <t>Transport Fund</t>
  </si>
  <si>
    <t>Lagos State Number Plate &amp; Production Authority</t>
  </si>
  <si>
    <t>LAGBUS Asset Management</t>
  </si>
  <si>
    <t>LAGBUS (New Buses Acquisition)</t>
  </si>
  <si>
    <t>Lagos State Waterways Authority</t>
  </si>
  <si>
    <t>Lagos State Ferry Services</t>
  </si>
  <si>
    <t>Works and Infrastructure</t>
  </si>
  <si>
    <t>030</t>
  </si>
  <si>
    <t>Office of Works</t>
  </si>
  <si>
    <t>Special Building /Strategic Projects</t>
  </si>
  <si>
    <t>State Consultancy Board</t>
  </si>
  <si>
    <t>047</t>
  </si>
  <si>
    <t>Office of Infrastructure</t>
  </si>
  <si>
    <t>Lagos Badagry  Expressway (LOT2)</t>
  </si>
  <si>
    <t>Construction of Roads to DANA Aircraft crash site</t>
  </si>
  <si>
    <t>076</t>
  </si>
  <si>
    <t>Office of Facility Management</t>
  </si>
  <si>
    <t>Public Works Corporation</t>
  </si>
  <si>
    <t>Road Maintenance</t>
  </si>
  <si>
    <t>Asphalt Plant</t>
  </si>
  <si>
    <t>Drainage Maintenance</t>
  </si>
  <si>
    <t>067</t>
  </si>
  <si>
    <t>Ministry of Waterfront Infrastructure Development</t>
  </si>
  <si>
    <t>Holistic Shoreline Project</t>
  </si>
  <si>
    <t>Environment</t>
  </si>
  <si>
    <t>006</t>
  </si>
  <si>
    <t>Office  of the Environmental Services</t>
  </si>
  <si>
    <t>Recruitment of 826 Enforcement Officers (KAI)</t>
  </si>
  <si>
    <t>OES (Festive Lighting and Installation)</t>
  </si>
  <si>
    <t>053</t>
  </si>
  <si>
    <t>Office of Drainage Services</t>
  </si>
  <si>
    <t>Lagos State Environmental Protection Agency (LASEPA)</t>
  </si>
  <si>
    <t>Lagos State Environmental &amp; Special Offences Unit</t>
  </si>
  <si>
    <t>Lagos Water Corporation (LWC)</t>
  </si>
  <si>
    <t>LWC(New Water Works)</t>
  </si>
  <si>
    <t>LWC Water Chemical</t>
  </si>
  <si>
    <t>Lagos State Wastewater Management Office</t>
  </si>
  <si>
    <t>Lagos State Waste Management Authority (LAWMA)</t>
  </si>
  <si>
    <t xml:space="preserve">LAWMA (Waste Collection in CBD) </t>
  </si>
  <si>
    <t>LAWMA Medical Waste for Public Health Facilities</t>
  </si>
  <si>
    <t xml:space="preserve">Sanitation Gangs Expenses </t>
  </si>
  <si>
    <t>LAWMA PSP Domestic Waste Fund</t>
  </si>
  <si>
    <t>Lagos State Signage and Advertisement Agency (LASAA)</t>
  </si>
  <si>
    <r>
      <t xml:space="preserve">LASAA </t>
    </r>
    <r>
      <rPr>
        <b/>
        <sz val="14"/>
        <rFont val="Arial"/>
        <family val="2"/>
      </rPr>
      <t>/</t>
    </r>
    <r>
      <rPr>
        <sz val="14"/>
        <rFont val="Arial"/>
        <family val="2"/>
      </rPr>
      <t xml:space="preserve"> L/S Electricity Board (Street Light)</t>
    </r>
  </si>
  <si>
    <t>Lagos State Parks &amp; Gardens Agency</t>
  </si>
  <si>
    <t>,077</t>
  </si>
  <si>
    <t>Water Regulatory Commission</t>
  </si>
  <si>
    <t>Housing and Community Amenities</t>
  </si>
  <si>
    <t>Housing</t>
  </si>
  <si>
    <t>014</t>
  </si>
  <si>
    <t>Ministry of Housing</t>
  </si>
  <si>
    <t>Lagos Mortgage Board (LMB)</t>
  </si>
  <si>
    <t>Proposed Lagos State Mortgage Board Recruitment</t>
  </si>
  <si>
    <t>Lands</t>
  </si>
  <si>
    <t>023</t>
  </si>
  <si>
    <t>Lands Bureau</t>
  </si>
  <si>
    <t>,018</t>
  </si>
  <si>
    <t>Lagos State Valuation Office</t>
  </si>
  <si>
    <t>061</t>
  </si>
  <si>
    <t>Office of the Surveyor-General</t>
  </si>
  <si>
    <t>Office of the Special Adviser Digital Mapping</t>
  </si>
  <si>
    <t>Physical Planning and Urban Development</t>
  </si>
  <si>
    <t>031</t>
  </si>
  <si>
    <t>Ministry of Physical Planning and Urban Development</t>
  </si>
  <si>
    <t>Relocation of Computer Village (Katangwa)</t>
  </si>
  <si>
    <t>Redevelopment of Isalegangan</t>
  </si>
  <si>
    <t>MPPUD (Okobaba Resettlement)</t>
  </si>
  <si>
    <t>Lagos State Physical Planning Permit Authority(LAPPA)</t>
  </si>
  <si>
    <t>Lagos State Building Control Authority(LABCA)</t>
  </si>
  <si>
    <t>Lagos State Infrastructural Maintenance&amp; Regulatory Agency(LASIMRA)</t>
  </si>
  <si>
    <t>New Towns Development Authority</t>
  </si>
  <si>
    <t>Lagos State Planning &amp; Environmental Monitoring Authority (LASPEMA)</t>
  </si>
  <si>
    <t>Lagos State Urban Renewal Authority (LASURA)</t>
  </si>
  <si>
    <t>Rural Development</t>
  </si>
  <si>
    <t>034</t>
  </si>
  <si>
    <t>Ministry of Rural Development</t>
  </si>
  <si>
    <t>MRD (Ode Omi Project)</t>
  </si>
  <si>
    <t>Centre for Rural Development</t>
  </si>
  <si>
    <t>Health</t>
  </si>
  <si>
    <t>008</t>
  </si>
  <si>
    <t>Ministry of Health</t>
  </si>
  <si>
    <t>EBOLA Emergency Expenses</t>
  </si>
  <si>
    <t>Rural Posting Allowance for 6 General Hospitals</t>
  </si>
  <si>
    <t>Appointment of 2 Consultants Anaesthetists for Ministry of Health</t>
  </si>
  <si>
    <t>MOH (Facility Management)</t>
  </si>
  <si>
    <t>Ministry of Health (LASUTH Project)</t>
  </si>
  <si>
    <t>LASUTH(Facility Mgt)</t>
  </si>
  <si>
    <t>Ministry of Health (LASUCOM Project)</t>
  </si>
  <si>
    <t>043</t>
  </si>
  <si>
    <t xml:space="preserve">Health Service Commission                                                     </t>
  </si>
  <si>
    <t>HSC (Duty Post Allowance for Medical Directors)</t>
  </si>
  <si>
    <t>General Hospital, Lagos</t>
  </si>
  <si>
    <t>Gbagada General Hospital</t>
  </si>
  <si>
    <t>Orile Agege General Hospital</t>
  </si>
  <si>
    <t>Isolo General Hospital</t>
  </si>
  <si>
    <t>Ikorodu General Hospital</t>
  </si>
  <si>
    <t>Ajeromi General Hospital</t>
  </si>
  <si>
    <t>Badagry General Hospital</t>
  </si>
  <si>
    <t>Epe General Hospital</t>
  </si>
  <si>
    <t>Agbowa General Hospital</t>
  </si>
  <si>
    <t>Lagos Island Maternity Hospital</t>
  </si>
  <si>
    <t>Massey Street Children's Hospital, Lagos</t>
  </si>
  <si>
    <t>Mainland Hospital, Yaba</t>
  </si>
  <si>
    <t>Onikan Health Centre</t>
  </si>
  <si>
    <t>Apapa General Hospital</t>
  </si>
  <si>
    <t>Ebute-Metta Health Centre</t>
  </si>
  <si>
    <t>Harvey Road Health Centre</t>
  </si>
  <si>
    <t>Ketu-Ejinrin Health Centre</t>
  </si>
  <si>
    <t>Ijede Health Centre</t>
  </si>
  <si>
    <t>Ibeju-Lekki General Hospital</t>
  </si>
  <si>
    <t>Shomolu General Hospital</t>
  </si>
  <si>
    <t>Ifako/Ijaiye General Hospital</t>
  </si>
  <si>
    <t>Mushin General Hospital</t>
  </si>
  <si>
    <t>Surulere General Hospital</t>
  </si>
  <si>
    <t>Alimosho General Hospital</t>
  </si>
  <si>
    <t>Amuwo Odofin General Hospital</t>
  </si>
  <si>
    <t>Lekki MCC</t>
  </si>
  <si>
    <t>Ketu Children's Clinic</t>
  </si>
  <si>
    <t>College of Health Technology</t>
  </si>
  <si>
    <t>Lagos University State College of Medicine(LASUCOM)</t>
  </si>
  <si>
    <t>Lagos State University Teaching Hospital LASUTH</t>
  </si>
  <si>
    <t>Board of Traditional Medicine</t>
  </si>
  <si>
    <t>Primary Health Care Board</t>
  </si>
  <si>
    <t>PHC (MSS/ Sure-P Nurses and CHEWS)</t>
  </si>
  <si>
    <t>PHC (Health Volunteer Workers)</t>
  </si>
  <si>
    <t>Lagos State AIDS Control Agency(LASACA)</t>
  </si>
  <si>
    <t>Lagos State Accident &amp; Emergency Centre</t>
  </si>
  <si>
    <t>Recreation, Culture and Religion</t>
  </si>
  <si>
    <t>Home Affairs and Culture</t>
  </si>
  <si>
    <t>009</t>
  </si>
  <si>
    <t>Ministry of Home Affairs &amp; Culture</t>
  </si>
  <si>
    <t xml:space="preserve">State Sponsored Pilgrims </t>
  </si>
  <si>
    <t>Council For Arts and Culture</t>
  </si>
  <si>
    <t>Christian Pilgrims' Welfare Board</t>
  </si>
  <si>
    <t>Muslim Pilgrims' Welfare Board</t>
  </si>
  <si>
    <t>Sport Development</t>
  </si>
  <si>
    <t>042</t>
  </si>
  <si>
    <t>Office of Sports Development</t>
  </si>
  <si>
    <t>DAWN Games</t>
  </si>
  <si>
    <t>National Sports Festival</t>
  </si>
  <si>
    <t>Sports' Classics</t>
  </si>
  <si>
    <t>Grassroot Sport Competitions</t>
  </si>
  <si>
    <t>Schools Sports'</t>
  </si>
  <si>
    <t>Proposed Recruitment of 130Nos Medalists of 18th National Sports Festival</t>
  </si>
  <si>
    <t xml:space="preserve"> Sports Endowment Fund</t>
  </si>
  <si>
    <t>Sports Council</t>
  </si>
  <si>
    <t xml:space="preserve">Sports Council(Programmes/Grant) </t>
  </si>
  <si>
    <t>Education</t>
  </si>
  <si>
    <t>005</t>
  </si>
  <si>
    <t>Ministry of Education</t>
  </si>
  <si>
    <t>EKO Project Implementation
(Special Adviser EKO Project)</t>
  </si>
  <si>
    <t>Exams Fees (WAEC &amp; Unified)</t>
  </si>
  <si>
    <t>Outstanding to Eric Moore Schools Complex</t>
  </si>
  <si>
    <t>Return of Schools</t>
  </si>
  <si>
    <t>Lagos State Technical and Vocational Board</t>
  </si>
  <si>
    <t>LASTVEB MATP/ESTP</t>
  </si>
  <si>
    <t>038</t>
  </si>
  <si>
    <t>Teachers Establishments and Pensions Office</t>
  </si>
  <si>
    <t>045</t>
  </si>
  <si>
    <t>Office of Special Adviser on Education</t>
  </si>
  <si>
    <t>OSAE (Intervention for LASU)</t>
  </si>
  <si>
    <t>054</t>
  </si>
  <si>
    <t xml:space="preserve">Education District 1 </t>
  </si>
  <si>
    <t>055</t>
  </si>
  <si>
    <t>Education District 2</t>
  </si>
  <si>
    <t>056</t>
  </si>
  <si>
    <t>Education District 3</t>
  </si>
  <si>
    <t>057</t>
  </si>
  <si>
    <t>Education District 4</t>
  </si>
  <si>
    <t>058</t>
  </si>
  <si>
    <t>Education District 5</t>
  </si>
  <si>
    <t>059</t>
  </si>
  <si>
    <t>Education District 6</t>
  </si>
  <si>
    <t>Education Districts 1-6 (Facility Mgt)</t>
  </si>
  <si>
    <t>JSS (Running Cost)</t>
  </si>
  <si>
    <t>State Universal Basic Education Board</t>
  </si>
  <si>
    <t>Lagos State Library Board</t>
  </si>
  <si>
    <t>Agency for Mass Education</t>
  </si>
  <si>
    <t>Lagos State Examination Board</t>
  </si>
  <si>
    <t>LSEB (Examination Expenses)</t>
  </si>
  <si>
    <t>Lagos State University (LASU)</t>
  </si>
  <si>
    <t>Adeniran Ogunsanya College of Education (AOCED)</t>
  </si>
  <si>
    <t>Lagos State Polytechnic (LASPOTECH)</t>
  </si>
  <si>
    <t>Micheal Otedola College of Primary Education Noforija Epe(MOCPED)</t>
  </si>
  <si>
    <t>Reserve for Salary Arrears (Tertiary Institutions)</t>
  </si>
  <si>
    <t>Lagos State Scholarship Board</t>
  </si>
  <si>
    <t>Scholarship/Bursary Fund</t>
  </si>
  <si>
    <t>Busary for new intake at LASU</t>
  </si>
  <si>
    <t>Social Protection</t>
  </si>
  <si>
    <t>Womens Affairs and Poverty Alleviation</t>
  </si>
  <si>
    <t>041</t>
  </si>
  <si>
    <t>Ministry of Women Affairs and Poverty Alleviation</t>
  </si>
  <si>
    <t>Women Development Centre</t>
  </si>
  <si>
    <t xml:space="preserve"> Office of Youth &amp; Social Development</t>
  </si>
  <si>
    <t xml:space="preserve">Office of Disability Affairs </t>
  </si>
  <si>
    <t>TOTAL</t>
  </si>
  <si>
    <t>Statewide</t>
  </si>
  <si>
    <t>Dedicated Revenue</t>
  </si>
  <si>
    <t>Dedicated Expenditure</t>
  </si>
  <si>
    <t>SUBVENTIONS</t>
  </si>
  <si>
    <t>Grants</t>
  </si>
  <si>
    <t>Capital Development (Dedicated)</t>
  </si>
  <si>
    <t>GRAND TOTAL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</si>
</sst>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_(* #,##0.000000_);_(* \(#,##0.000000\);_(* &quot;-&quot;??_);_(@_)"/>
    <numFmt numFmtId="167" formatCode="_-* #,##0.0000000_-;\-* #,##0.0000000_-;_-* &quot;-&quot;??_-;_-@_-"/>
    <numFmt numFmtId="168" formatCode="_-* #,##0.00_-;\-* #,##0.00_-;_-* &quot;-&quot;??_-;_-@_-"/>
    <numFmt numFmtId="169" formatCode="mmmm\ yyyy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1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4"/>
      <color theme="1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8"/>
      <color indexed="8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</font>
    <font>
      <sz val="14"/>
      <color rgb="FFFF0000"/>
      <name val="Arial"/>
      <family val="2"/>
    </font>
    <font>
      <sz val="12"/>
      <name val="Calibri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0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9">
    <xf numFmtId="0" fontId="0" fillId="0" borderId="0"/>
    <xf numFmtId="43" fontId="12" fillId="0" borderId="0" applyFont="0" applyFill="0" applyBorder="0" applyAlignment="0" applyProtection="0"/>
    <xf numFmtId="0" fontId="15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" fillId="0" borderId="0"/>
    <xf numFmtId="0" fontId="27" fillId="0" borderId="0"/>
    <xf numFmtId="9" fontId="1" fillId="0" borderId="0" applyFont="0" applyFill="0" applyBorder="0" applyAlignment="0" applyProtection="0"/>
  </cellStyleXfs>
  <cellXfs count="169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2" fillId="4" borderId="2" xfId="0" applyFont="1" applyFill="1" applyBorder="1"/>
    <xf numFmtId="0" fontId="6" fillId="4" borderId="1" xfId="0" applyFont="1" applyFill="1" applyBorder="1"/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center"/>
    </xf>
    <xf numFmtId="9" fontId="7" fillId="4" borderId="2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8" fillId="3" borderId="0" xfId="0" applyFont="1" applyFill="1" applyBorder="1"/>
    <xf numFmtId="164" fontId="3" fillId="3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vertical="center"/>
    </xf>
    <xf numFmtId="164" fontId="9" fillId="3" borderId="0" xfId="0" applyNumberFormat="1" applyFont="1" applyFill="1" applyAlignment="1">
      <alignment vertical="center"/>
    </xf>
    <xf numFmtId="0" fontId="9" fillId="3" borderId="0" xfId="0" applyFont="1" applyFill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64" fontId="10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vertical="center"/>
    </xf>
    <xf numFmtId="165" fontId="13" fillId="3" borderId="0" xfId="1" applyNumberFormat="1" applyFont="1" applyFill="1" applyBorder="1" applyAlignment="1">
      <alignment vertical="center"/>
    </xf>
    <xf numFmtId="164" fontId="14" fillId="3" borderId="1" xfId="1" applyNumberFormat="1" applyFont="1" applyFill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164" fontId="10" fillId="3" borderId="1" xfId="1" applyNumberFormat="1" applyFont="1" applyFill="1" applyBorder="1" applyAlignment="1">
      <alignment vertical="center" wrapText="1"/>
    </xf>
    <xf numFmtId="164" fontId="11" fillId="3" borderId="0" xfId="0" applyNumberFormat="1" applyFont="1" applyFill="1" applyAlignment="1">
      <alignment horizontal="center" vertical="center"/>
    </xf>
    <xf numFmtId="0" fontId="2" fillId="3" borderId="5" xfId="0" quotePrefix="1" applyFont="1" applyFill="1" applyBorder="1" applyAlignment="1">
      <alignment horizontal="left" vertical="center"/>
    </xf>
    <xf numFmtId="164" fontId="13" fillId="3" borderId="0" xfId="1" applyNumberFormat="1" applyFont="1" applyFill="1" applyBorder="1" applyAlignment="1">
      <alignment horizontal="left" vertical="center"/>
    </xf>
    <xf numFmtId="164" fontId="13" fillId="3" borderId="0" xfId="1" applyNumberFormat="1" applyFont="1" applyFill="1" applyBorder="1" applyAlignment="1">
      <alignment vertical="center"/>
    </xf>
    <xf numFmtId="164" fontId="10" fillId="6" borderId="0" xfId="0" applyNumberFormat="1" applyFont="1" applyFill="1" applyAlignment="1">
      <alignment vertical="center"/>
    </xf>
    <xf numFmtId="0" fontId="9" fillId="6" borderId="0" xfId="0" applyFont="1" applyFill="1" applyAlignment="1">
      <alignment vertical="center"/>
    </xf>
    <xf numFmtId="164" fontId="2" fillId="3" borderId="1" xfId="1" applyNumberFormat="1" applyFont="1" applyFill="1" applyBorder="1" applyAlignment="1">
      <alignment vertical="center" wrapText="1"/>
    </xf>
    <xf numFmtId="164" fontId="10" fillId="0" borderId="1" xfId="1" applyNumberFormat="1" applyFont="1" applyBorder="1" applyAlignment="1">
      <alignment vertical="center" wrapText="1"/>
    </xf>
    <xf numFmtId="164" fontId="11" fillId="3" borderId="5" xfId="0" applyNumberFormat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vertical="center"/>
    </xf>
    <xf numFmtId="0" fontId="2" fillId="3" borderId="7" xfId="0" quotePrefix="1" applyFont="1" applyFill="1" applyBorder="1" applyAlignment="1">
      <alignment vertical="center"/>
    </xf>
    <xf numFmtId="164" fontId="2" fillId="3" borderId="1" xfId="6" applyNumberFormat="1" applyFont="1" applyFill="1" applyBorder="1" applyAlignment="1">
      <alignment horizontal="center" vertical="center"/>
    </xf>
    <xf numFmtId="164" fontId="19" fillId="3" borderId="1" xfId="0" applyNumberFormat="1" applyFont="1" applyFill="1" applyBorder="1" applyAlignment="1">
      <alignment horizontal="center" vertical="center"/>
    </xf>
    <xf numFmtId="164" fontId="19" fillId="3" borderId="1" xfId="1" applyNumberFormat="1" applyFont="1" applyFill="1" applyBorder="1" applyAlignment="1">
      <alignment horizontal="center" vertical="center"/>
    </xf>
    <xf numFmtId="164" fontId="19" fillId="3" borderId="1" xfId="1" applyNumberFormat="1" applyFont="1" applyFill="1" applyBorder="1" applyAlignment="1">
      <alignment vertical="center"/>
    </xf>
    <xf numFmtId="164" fontId="16" fillId="3" borderId="0" xfId="1" applyNumberFormat="1" applyFont="1" applyFill="1" applyBorder="1" applyAlignment="1">
      <alignment vertical="center"/>
    </xf>
    <xf numFmtId="0" fontId="20" fillId="6" borderId="0" xfId="0" applyFont="1" applyFill="1" applyAlignment="1">
      <alignment vertical="center"/>
    </xf>
    <xf numFmtId="164" fontId="21" fillId="3" borderId="1" xfId="0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left" vertical="center"/>
    </xf>
    <xf numFmtId="164" fontId="2" fillId="3" borderId="6" xfId="1" applyNumberFormat="1" applyFont="1" applyFill="1" applyBorder="1" applyAlignment="1">
      <alignment vertical="center"/>
    </xf>
    <xf numFmtId="43" fontId="3" fillId="3" borderId="2" xfId="0" applyNumberFormat="1" applyFont="1" applyFill="1" applyBorder="1" applyAlignment="1">
      <alignment horizontal="center" vertical="center"/>
    </xf>
    <xf numFmtId="0" fontId="2" fillId="3" borderId="6" xfId="0" quotePrefix="1" applyFont="1" applyFill="1" applyBorder="1" applyAlignment="1">
      <alignment horizontal="left" vertical="center"/>
    </xf>
    <xf numFmtId="164" fontId="4" fillId="3" borderId="0" xfId="0" applyNumberFormat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left" vertical="center" wrapText="1"/>
    </xf>
    <xf numFmtId="164" fontId="11" fillId="3" borderId="6" xfId="0" applyNumberFormat="1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horizontal="left" vertical="center"/>
    </xf>
    <xf numFmtId="0" fontId="2" fillId="3" borderId="6" xfId="0" quotePrefix="1" applyFont="1" applyFill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164" fontId="13" fillId="3" borderId="0" xfId="0" applyNumberFormat="1" applyFont="1" applyFill="1" applyBorder="1" applyAlignment="1">
      <alignment horizontal="center" vertical="center"/>
    </xf>
    <xf numFmtId="0" fontId="22" fillId="3" borderId="0" xfId="0" applyFont="1" applyFill="1" applyAlignment="1">
      <alignment vertical="center"/>
    </xf>
    <xf numFmtId="164" fontId="9" fillId="3" borderId="0" xfId="1" applyNumberFormat="1" applyFont="1" applyFill="1" applyAlignment="1">
      <alignment vertical="center"/>
    </xf>
    <xf numFmtId="165" fontId="13" fillId="3" borderId="0" xfId="1" applyNumberFormat="1" applyFont="1" applyFill="1" applyBorder="1" applyAlignment="1">
      <alignment horizontal="center" vertical="center"/>
    </xf>
    <xf numFmtId="164" fontId="11" fillId="3" borderId="8" xfId="1" applyNumberFormat="1" applyFont="1" applyFill="1" applyBorder="1" applyAlignment="1">
      <alignment horizontal="center" vertical="center"/>
    </xf>
    <xf numFmtId="164" fontId="19" fillId="3" borderId="1" xfId="4" applyNumberFormat="1" applyFont="1" applyFill="1" applyBorder="1" applyAlignment="1">
      <alignment horizontal="center" vertical="center"/>
    </xf>
    <xf numFmtId="164" fontId="2" fillId="3" borderId="1" xfId="4" applyNumberFormat="1" applyFont="1" applyFill="1" applyBorder="1" applyAlignment="1">
      <alignment horizontal="center" vertical="center"/>
    </xf>
    <xf numFmtId="164" fontId="13" fillId="3" borderId="0" xfId="0" applyNumberFormat="1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25" fillId="0" borderId="0" xfId="0" applyFont="1"/>
    <xf numFmtId="0" fontId="25" fillId="0" borderId="0" xfId="0" applyFont="1" applyBorder="1"/>
    <xf numFmtId="164" fontId="25" fillId="0" borderId="0" xfId="0" applyNumberFormat="1" applyFont="1" applyBorder="1"/>
    <xf numFmtId="164" fontId="16" fillId="0" borderId="0" xfId="1" applyNumberFormat="1" applyFont="1" applyBorder="1"/>
    <xf numFmtId="166" fontId="25" fillId="0" borderId="0" xfId="1" applyNumberFormat="1" applyFont="1" applyBorder="1"/>
    <xf numFmtId="164" fontId="19" fillId="0" borderId="0" xfId="0" applyNumberFormat="1" applyFont="1" applyBorder="1"/>
    <xf numFmtId="165" fontId="25" fillId="0" borderId="0" xfId="1" applyNumberFormat="1" applyFont="1" applyBorder="1"/>
    <xf numFmtId="164" fontId="3" fillId="3" borderId="5" xfId="0" applyNumberFormat="1" applyFont="1" applyFill="1" applyBorder="1" applyAlignment="1">
      <alignment vertical="center"/>
    </xf>
    <xf numFmtId="164" fontId="16" fillId="0" borderId="0" xfId="0" applyNumberFormat="1" applyFont="1" applyBorder="1"/>
    <xf numFmtId="2" fontId="25" fillId="0" borderId="0" xfId="0" applyNumberFormat="1" applyFont="1" applyBorder="1"/>
    <xf numFmtId="0" fontId="25" fillId="6" borderId="0" xfId="0" applyFont="1" applyFill="1"/>
    <xf numFmtId="0" fontId="25" fillId="6" borderId="0" xfId="0" applyFont="1" applyFill="1" applyBorder="1"/>
    <xf numFmtId="43" fontId="26" fillId="6" borderId="0" xfId="1" applyFont="1" applyFill="1" applyBorder="1"/>
    <xf numFmtId="164" fontId="26" fillId="6" borderId="0" xfId="1" applyNumberFormat="1" applyFont="1" applyFill="1" applyBorder="1"/>
    <xf numFmtId="0" fontId="26" fillId="6" borderId="0" xfId="0" applyFont="1" applyFill="1" applyBorder="1"/>
    <xf numFmtId="164" fontId="26" fillId="6" borderId="0" xfId="0" applyNumberFormat="1" applyFont="1" applyFill="1" applyBorder="1"/>
    <xf numFmtId="167" fontId="26" fillId="6" borderId="0" xfId="0" applyNumberFormat="1" applyFont="1" applyFill="1" applyBorder="1"/>
    <xf numFmtId="165" fontId="25" fillId="6" borderId="0" xfId="1" applyNumberFormat="1" applyFont="1" applyFill="1" applyBorder="1"/>
    <xf numFmtId="0" fontId="0" fillId="6" borderId="0" xfId="0" applyFill="1"/>
    <xf numFmtId="0" fontId="0" fillId="0" borderId="0" xfId="0" applyBorder="1"/>
    <xf numFmtId="164" fontId="0" fillId="0" borderId="0" xfId="0" applyNumberFormat="1" applyBorder="1"/>
    <xf numFmtId="43" fontId="0" fillId="0" borderId="0" xfId="1" applyFont="1" applyBorder="1"/>
    <xf numFmtId="164" fontId="3" fillId="3" borderId="1" xfId="0" applyNumberFormat="1" applyFont="1" applyFill="1" applyBorder="1" applyAlignment="1">
      <alignment vertical="center"/>
    </xf>
    <xf numFmtId="43" fontId="0" fillId="0" borderId="0" xfId="0" applyNumberFormat="1" applyBorder="1"/>
    <xf numFmtId="0" fontId="0" fillId="0" borderId="1" xfId="0" applyBorder="1"/>
    <xf numFmtId="43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8" fillId="5" borderId="0" xfId="0" applyFont="1" applyFill="1" applyBorder="1"/>
    <xf numFmtId="164" fontId="3" fillId="3" borderId="0" xfId="0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/>
    <xf numFmtId="164" fontId="4" fillId="0" borderId="0" xfId="0" applyNumberFormat="1" applyFont="1" applyFill="1" applyBorder="1" applyAlignment="1"/>
    <xf numFmtId="164" fontId="4" fillId="3" borderId="0" xfId="0" applyNumberFormat="1" applyFont="1" applyFill="1" applyBorder="1" applyAlignment="1"/>
    <xf numFmtId="164" fontId="13" fillId="0" borderId="0" xfId="0" applyNumberFormat="1" applyFont="1" applyFill="1" applyBorder="1" applyAlignment="1">
      <alignment vertical="center"/>
    </xf>
    <xf numFmtId="164" fontId="2" fillId="3" borderId="0" xfId="1" applyNumberFormat="1" applyFont="1" applyFill="1" applyBorder="1" applyAlignment="1">
      <alignment horizontal="left" vertical="center"/>
    </xf>
    <xf numFmtId="164" fontId="4" fillId="6" borderId="0" xfId="0" applyNumberFormat="1" applyFont="1" applyFill="1" applyBorder="1" applyAlignment="1">
      <alignment vertical="center"/>
    </xf>
    <xf numFmtId="164" fontId="13" fillId="6" borderId="0" xfId="0" applyNumberFormat="1" applyFont="1" applyFill="1" applyBorder="1" applyAlignment="1">
      <alignment vertical="center"/>
    </xf>
    <xf numFmtId="164" fontId="4" fillId="0" borderId="0" xfId="3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vertical="center"/>
    </xf>
    <xf numFmtId="164" fontId="17" fillId="3" borderId="0" xfId="4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vertical="center" wrapText="1"/>
    </xf>
    <xf numFmtId="164" fontId="23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Border="1"/>
    <xf numFmtId="164" fontId="24" fillId="0" borderId="0" xfId="4" applyNumberFormat="1" applyFont="1" applyBorder="1" applyAlignment="1">
      <alignment vertical="center"/>
    </xf>
    <xf numFmtId="164" fontId="24" fillId="3" borderId="0" xfId="4" applyNumberFormat="1" applyFont="1" applyFill="1" applyBorder="1" applyAlignment="1">
      <alignment vertical="center"/>
    </xf>
    <xf numFmtId="164" fontId="16" fillId="3" borderId="0" xfId="4" applyNumberFormat="1" applyFont="1" applyFill="1" applyBorder="1" applyAlignment="1">
      <alignment vertical="center"/>
    </xf>
    <xf numFmtId="164" fontId="16" fillId="0" borderId="0" xfId="4" applyNumberFormat="1" applyFont="1" applyBorder="1" applyAlignment="1">
      <alignment vertical="center"/>
    </xf>
    <xf numFmtId="164" fontId="16" fillId="6" borderId="0" xfId="4" applyNumberFormat="1" applyFont="1" applyFill="1" applyBorder="1" applyAlignment="1">
      <alignment vertical="center"/>
    </xf>
    <xf numFmtId="164" fontId="16" fillId="7" borderId="0" xfId="4" applyNumberFormat="1" applyFont="1" applyFill="1" applyBorder="1" applyAlignment="1">
      <alignment vertical="center"/>
    </xf>
    <xf numFmtId="164" fontId="16" fillId="0" borderId="0" xfId="4" applyNumberFormat="1" applyFont="1" applyFill="1" applyBorder="1" applyAlignment="1">
      <alignment vertical="center"/>
    </xf>
    <xf numFmtId="164" fontId="17" fillId="0" borderId="0" xfId="4" applyNumberFormat="1" applyFont="1" applyBorder="1" applyAlignment="1">
      <alignment horizontal="right" vertical="center" wrapText="1"/>
    </xf>
    <xf numFmtId="164" fontId="17" fillId="0" borderId="0" xfId="4" applyNumberFormat="1" applyFont="1" applyBorder="1" applyAlignment="1">
      <alignment horizontal="right" wrapText="1"/>
    </xf>
    <xf numFmtId="0" fontId="9" fillId="3" borderId="0" xfId="0" applyFont="1" applyFill="1" applyBorder="1" applyAlignment="1">
      <alignment vertical="center"/>
    </xf>
    <xf numFmtId="164" fontId="3" fillId="8" borderId="0" xfId="0" applyNumberFormat="1" applyFont="1" applyFill="1" applyBorder="1" applyAlignment="1">
      <alignment vertical="center"/>
    </xf>
    <xf numFmtId="164" fontId="16" fillId="0" borderId="0" xfId="4" applyNumberFormat="1" applyFont="1" applyFill="1" applyBorder="1"/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5" xfId="0" quotePrefix="1" applyFont="1" applyFill="1" applyBorder="1" applyAlignment="1">
      <alignment horizontal="left" vertical="center"/>
    </xf>
    <xf numFmtId="0" fontId="2" fillId="3" borderId="6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horizontal="center" vertical="center"/>
    </xf>
    <xf numFmtId="0" fontId="2" fillId="3" borderId="6" xfId="0" quotePrefix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0" fontId="2" fillId="3" borderId="5" xfId="0" quotePrefix="1" applyFont="1" applyFill="1" applyBorder="1" applyAlignment="1">
      <alignment horizontal="left" vertical="center" wrapText="1"/>
    </xf>
    <xf numFmtId="0" fontId="2" fillId="3" borderId="7" xfId="0" quotePrefix="1" applyFont="1" applyFill="1" applyBorder="1" applyAlignment="1">
      <alignment horizontal="left" vertical="center" wrapText="1"/>
    </xf>
    <xf numFmtId="0" fontId="2" fillId="3" borderId="6" xfId="0" quotePrefix="1" applyFont="1" applyFill="1" applyBorder="1" applyAlignment="1">
      <alignment horizontal="left" vertical="center" wrapText="1"/>
    </xf>
    <xf numFmtId="164" fontId="10" fillId="3" borderId="2" xfId="1" applyNumberFormat="1" applyFont="1" applyFill="1" applyBorder="1" applyAlignment="1">
      <alignment horizontal="center" vertical="center" wrapText="1"/>
    </xf>
    <xf numFmtId="164" fontId="10" fillId="3" borderId="4" xfId="1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2" xfId="5" applyFont="1" applyFill="1" applyBorder="1" applyAlignment="1">
      <alignment horizontal="left" vertical="center" wrapText="1"/>
    </xf>
    <xf numFmtId="0" fontId="2" fillId="3" borderId="3" xfId="5" applyFont="1" applyFill="1" applyBorder="1" applyAlignment="1">
      <alignment horizontal="left" vertical="center" wrapText="1"/>
    </xf>
    <xf numFmtId="0" fontId="2" fillId="3" borderId="7" xfId="0" quotePrefix="1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2" fillId="3" borderId="5" xfId="0" quotePrefix="1" applyFont="1" applyFill="1" applyBorder="1" applyAlignment="1">
      <alignment horizontal="center" vertical="center" wrapText="1"/>
    </xf>
    <xf numFmtId="0" fontId="2" fillId="3" borderId="6" xfId="0" quotePrefix="1" applyFont="1" applyFill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164" fontId="2" fillId="3" borderId="4" xfId="1" applyNumberFormat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</cellXfs>
  <cellStyles count="69">
    <cellStyle name="Comma" xfId="1" builtinId="3"/>
    <cellStyle name="Comma 2" xfId="6"/>
    <cellStyle name="Comma 2 2" xfId="7"/>
    <cellStyle name="Comma 2 2 2" xfId="8"/>
    <cellStyle name="Comma 2 3" xfId="9"/>
    <cellStyle name="Comma 3" xfId="4"/>
    <cellStyle name="Comma 3 2" xfId="10"/>
    <cellStyle name="Comma 3 2 2" xfId="11"/>
    <cellStyle name="Comma 3 3" xfId="12"/>
    <cellStyle name="Comma 3 3 2" xfId="13"/>
    <cellStyle name="Comma 3 4" xfId="14"/>
    <cellStyle name="Comma 3 4 2" xfId="15"/>
    <cellStyle name="Comma 3 5" xfId="16"/>
    <cellStyle name="Comma 3 5 2" xfId="17"/>
    <cellStyle name="Comma 3 6" xfId="18"/>
    <cellStyle name="Comma 3 6 2" xfId="19"/>
    <cellStyle name="Comma 3 7" xfId="20"/>
    <cellStyle name="Comma 4" xfId="3"/>
    <cellStyle name="Comma 5" xfId="21"/>
    <cellStyle name="Comma 6" xfId="22"/>
    <cellStyle name="Comma 6 2" xfId="23"/>
    <cellStyle name="Comma 7" xfId="24"/>
    <cellStyle name="Comma 7 2" xfId="25"/>
    <cellStyle name="Normal" xfId="0" builtinId="0"/>
    <cellStyle name="Normal 2" xfId="2"/>
    <cellStyle name="Normal 2 2" xfId="5"/>
    <cellStyle name="Normal 2 2 2" xfId="26"/>
    <cellStyle name="Normal 2 2 2 10" xfId="27"/>
    <cellStyle name="Normal 2 2 2 2" xfId="28"/>
    <cellStyle name="Normal 2 2 2 2 2" xfId="29"/>
    <cellStyle name="Normal 2 2 2 2 2 2" xfId="30"/>
    <cellStyle name="Normal 2 2 2 2 3" xfId="31"/>
    <cellStyle name="Normal 2 2 2 2_21 N-Deputy Governor's Office" xfId="32"/>
    <cellStyle name="Normal 2 2 2 3" xfId="33"/>
    <cellStyle name="Normal 2 2 2 3 2" xfId="34"/>
    <cellStyle name="Normal 2 2 2 4" xfId="35"/>
    <cellStyle name="Normal 2 2 2 4 2" xfId="36"/>
    <cellStyle name="Normal 2 2 2 5" xfId="37"/>
    <cellStyle name="Normal 2 2 2 5 2" xfId="38"/>
    <cellStyle name="Normal 2 2 2 6" xfId="39"/>
    <cellStyle name="Normal 2 2 2 6 2" xfId="40"/>
    <cellStyle name="Normal 2 2 2 7" xfId="41"/>
    <cellStyle name="Normal 2 2 2 8" xfId="42"/>
    <cellStyle name="Normal 2 2 2 9" xfId="43"/>
    <cellStyle name="Normal 2 2 2_Jigawa Cash Forecasting model v2.1" xfId="44"/>
    <cellStyle name="Normal 2 2 3" xfId="45"/>
    <cellStyle name="Normal 2 2 3 2" xfId="46"/>
    <cellStyle name="Normal 2 2 4" xfId="47"/>
    <cellStyle name="Normal 2 2 4 2" xfId="48"/>
    <cellStyle name="Normal 2 2 5" xfId="49"/>
    <cellStyle name="Normal 2 2 5 2" xfId="50"/>
    <cellStyle name="Normal 2 2 6" xfId="51"/>
    <cellStyle name="Normal 2 2 6 2" xfId="52"/>
    <cellStyle name="Normal 2 2 7" xfId="53"/>
    <cellStyle name="Normal 2 2_21 N-Deputy Governor's Office" xfId="54"/>
    <cellStyle name="Normal 2 3" xfId="55"/>
    <cellStyle name="Normal 2 3 2" xfId="56"/>
    <cellStyle name="Normal 2 4" xfId="57"/>
    <cellStyle name="Normal 2 4 2" xfId="58"/>
    <cellStyle name="Normal 2 5" xfId="59"/>
    <cellStyle name="Normal 2 5 2" xfId="60"/>
    <cellStyle name="Normal 2 6" xfId="61"/>
    <cellStyle name="Normal 2 6 2" xfId="62"/>
    <cellStyle name="Normal 2 7" xfId="63"/>
    <cellStyle name="Normal 2 7 2" xfId="64"/>
    <cellStyle name="Normal 24" xfId="65"/>
    <cellStyle name="Normal 6" xfId="66"/>
    <cellStyle name="Normal 7" xfId="67"/>
    <cellStyle name="Percent 2" xfId="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02"/>
  <sheetViews>
    <sheetView tabSelected="1" view="pageBreakPreview" zoomScale="60" workbookViewId="0">
      <pane ySplit="1" topLeftCell="A334" activePane="bottomLeft" state="frozen"/>
      <selection activeCell="B1" sqref="B1"/>
      <selection pane="bottomLeft" activeCell="K362" sqref="K362"/>
    </sheetView>
  </sheetViews>
  <sheetFormatPr defaultRowHeight="15"/>
  <cols>
    <col min="1" max="1" width="5.42578125" customWidth="1"/>
    <col min="2" max="2" width="5.85546875" customWidth="1"/>
    <col min="3" max="3" width="7.85546875" customWidth="1"/>
    <col min="4" max="4" width="27.85546875" style="95" customWidth="1"/>
    <col min="5" max="5" width="25" style="95" customWidth="1"/>
    <col min="6" max="6" width="23" style="95" customWidth="1"/>
    <col min="7" max="7" width="23.5703125" style="95" customWidth="1"/>
    <col min="8" max="8" width="22" style="95" customWidth="1"/>
    <col min="9" max="9" width="27.140625" style="95" hidden="1" customWidth="1"/>
    <col min="10" max="10" width="35" style="95" hidden="1" customWidth="1"/>
    <col min="11" max="11" width="26.140625" style="95" customWidth="1"/>
    <col min="12" max="12" width="28.140625" style="95" customWidth="1"/>
    <col min="13" max="13" width="22.5703125" style="95" customWidth="1"/>
    <col min="14" max="14" width="24" style="95" customWidth="1"/>
    <col min="15" max="15" width="22.7109375" style="95" customWidth="1"/>
    <col min="16" max="16" width="22" style="90" customWidth="1"/>
    <col min="17" max="17" width="22.42578125" style="90" customWidth="1"/>
    <col min="18" max="18" width="24.28515625" style="90" customWidth="1"/>
    <col min="19" max="20" width="29.28515625" style="90" customWidth="1"/>
    <col min="21" max="21" width="26.42578125" style="90" customWidth="1"/>
    <col min="22" max="22" width="42.42578125" style="90" customWidth="1"/>
    <col min="23" max="23" width="38.42578125" customWidth="1"/>
  </cols>
  <sheetData>
    <row r="1" spans="1:23" ht="125.25" customHeight="1">
      <c r="A1" s="1"/>
      <c r="B1" s="138"/>
      <c r="C1" s="138"/>
      <c r="D1" s="138"/>
      <c r="E1" s="2" t="s">
        <v>0</v>
      </c>
      <c r="F1" s="2" t="s">
        <v>1</v>
      </c>
      <c r="G1" s="2" t="s">
        <v>3</v>
      </c>
      <c r="H1" s="2" t="s">
        <v>4</v>
      </c>
      <c r="I1" s="2" t="s">
        <v>5</v>
      </c>
      <c r="J1" s="2" t="s">
        <v>2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127" t="s">
        <v>11</v>
      </c>
      <c r="Q1" s="128"/>
      <c r="R1" s="128"/>
      <c r="S1" s="3"/>
      <c r="T1" s="3"/>
      <c r="U1" s="97"/>
      <c r="V1" s="98"/>
    </row>
    <row r="2" spans="1:23" ht="39.75" customHeight="1">
      <c r="A2" s="4"/>
      <c r="B2" s="4"/>
      <c r="C2" s="5"/>
      <c r="D2" s="6"/>
      <c r="E2" s="7"/>
      <c r="F2" s="7"/>
      <c r="G2" s="7"/>
      <c r="H2" s="7"/>
      <c r="I2" s="7"/>
      <c r="J2" s="7"/>
      <c r="K2" s="7"/>
      <c r="L2" s="8"/>
      <c r="M2" s="8"/>
      <c r="N2" s="8"/>
      <c r="O2" s="6"/>
      <c r="P2" s="9" t="s">
        <v>12</v>
      </c>
      <c r="Q2" s="10" t="s">
        <v>13</v>
      </c>
      <c r="R2" s="11" t="s">
        <v>14</v>
      </c>
      <c r="S2" s="12"/>
      <c r="T2" s="12"/>
      <c r="U2" s="12"/>
      <c r="V2" s="99"/>
    </row>
    <row r="3" spans="1:23" s="17" customFormat="1" ht="37.5" customHeight="1">
      <c r="A3" s="129" t="s">
        <v>15</v>
      </c>
      <c r="B3" s="130"/>
      <c r="C3" s="130"/>
      <c r="D3" s="131"/>
      <c r="E3" s="13">
        <f t="shared" ref="E3:O3" si="0">SUM(E4,E21,E24,E38,E65,E88,E96,E102)</f>
        <v>422399678179</v>
      </c>
      <c r="F3" s="13">
        <f t="shared" si="0"/>
        <v>4000850000</v>
      </c>
      <c r="G3" s="13">
        <f t="shared" si="0"/>
        <v>2466708961</v>
      </c>
      <c r="H3" s="13">
        <f t="shared" si="0"/>
        <v>2466708961</v>
      </c>
      <c r="I3" s="13">
        <f t="shared" si="0"/>
        <v>20752667609.299999</v>
      </c>
      <c r="J3" s="13">
        <f t="shared" si="0"/>
        <v>9685639415.880003</v>
      </c>
      <c r="K3" s="13">
        <f t="shared" si="0"/>
        <v>28179728248.170002</v>
      </c>
      <c r="L3" s="13">
        <v>73289783771.509491</v>
      </c>
      <c r="M3" s="13">
        <f t="shared" si="0"/>
        <v>1900000000</v>
      </c>
      <c r="N3" s="13">
        <f t="shared" si="0"/>
        <v>1900000000</v>
      </c>
      <c r="O3" s="13">
        <f t="shared" si="0"/>
        <v>28842568695.829998</v>
      </c>
      <c r="P3" s="13">
        <v>243045239.09999999</v>
      </c>
      <c r="Q3" s="13">
        <v>593656724.72000003</v>
      </c>
      <c r="R3" s="13">
        <v>836701963.81999993</v>
      </c>
      <c r="S3" s="15"/>
      <c r="T3" s="15"/>
      <c r="U3" s="15"/>
      <c r="V3" s="100"/>
      <c r="W3" s="16"/>
    </row>
    <row r="4" spans="1:23" s="17" customFormat="1" ht="30" customHeight="1">
      <c r="A4" s="129" t="s">
        <v>16</v>
      </c>
      <c r="B4" s="130"/>
      <c r="C4" s="130"/>
      <c r="D4" s="131"/>
      <c r="E4" s="13">
        <f t="shared" ref="E4:J4" si="1">SUM(E5:E20)</f>
        <v>43796000</v>
      </c>
      <c r="F4" s="13">
        <f t="shared" si="1"/>
        <v>0</v>
      </c>
      <c r="G4" s="13">
        <f t="shared" si="1"/>
        <v>0</v>
      </c>
      <c r="H4" s="13">
        <f t="shared" si="1"/>
        <v>0</v>
      </c>
      <c r="I4" s="13">
        <f t="shared" si="1"/>
        <v>1346262138.73</v>
      </c>
      <c r="J4" s="13">
        <f t="shared" si="1"/>
        <v>523881402.01999998</v>
      </c>
      <c r="K4" s="13">
        <f>SUM(K5:K20)</f>
        <v>1365122690.1799998</v>
      </c>
      <c r="L4" s="13">
        <v>7031489238.25</v>
      </c>
      <c r="M4" s="13">
        <f t="shared" ref="M4:O4" si="2">SUM(M5:M20)</f>
        <v>0</v>
      </c>
      <c r="N4" s="13">
        <f t="shared" si="2"/>
        <v>0</v>
      </c>
      <c r="O4" s="13">
        <f t="shared" si="2"/>
        <v>254665261</v>
      </c>
      <c r="P4" s="13">
        <v>0</v>
      </c>
      <c r="Q4" s="13">
        <v>0</v>
      </c>
      <c r="R4" s="18">
        <v>0</v>
      </c>
      <c r="S4" s="15"/>
      <c r="T4" s="15"/>
      <c r="U4" s="15"/>
      <c r="V4" s="100"/>
      <c r="W4" s="19"/>
    </row>
    <row r="5" spans="1:23" s="17" customFormat="1" ht="29.25" customHeight="1">
      <c r="A5" s="20">
        <v>1</v>
      </c>
      <c r="B5" s="21" t="s">
        <v>17</v>
      </c>
      <c r="C5" s="132" t="s">
        <v>18</v>
      </c>
      <c r="D5" s="132"/>
      <c r="E5" s="22">
        <v>500000</v>
      </c>
      <c r="F5" s="22">
        <v>0</v>
      </c>
      <c r="G5" s="22"/>
      <c r="H5" s="22"/>
      <c r="I5" s="22">
        <v>70000000</v>
      </c>
      <c r="J5" s="22">
        <v>38175128.149999999</v>
      </c>
      <c r="K5" s="23">
        <v>74986297.560000002</v>
      </c>
      <c r="L5" s="13">
        <v>45500000</v>
      </c>
      <c r="M5" s="22"/>
      <c r="N5" s="22"/>
      <c r="O5" s="22"/>
      <c r="P5" s="25"/>
      <c r="Q5" s="14">
        <v>0</v>
      </c>
      <c r="R5" s="18">
        <v>0</v>
      </c>
      <c r="S5" s="26"/>
      <c r="T5" s="26"/>
      <c r="U5" s="15"/>
      <c r="V5" s="101"/>
      <c r="W5" s="19"/>
    </row>
    <row r="6" spans="1:23" s="17" customFormat="1" ht="41.25" customHeight="1">
      <c r="A6" s="20">
        <v>2</v>
      </c>
      <c r="B6" s="21" t="s">
        <v>19</v>
      </c>
      <c r="C6" s="132" t="s">
        <v>20</v>
      </c>
      <c r="D6" s="132"/>
      <c r="E6" s="22">
        <v>21000</v>
      </c>
      <c r="F6" s="22">
        <v>0</v>
      </c>
      <c r="G6" s="22"/>
      <c r="H6" s="22"/>
      <c r="I6" s="22">
        <v>53259825.640000001</v>
      </c>
      <c r="J6" s="22"/>
      <c r="K6" s="27">
        <v>56247371.520000003</v>
      </c>
      <c r="L6" s="13">
        <v>230000000</v>
      </c>
      <c r="M6" s="22"/>
      <c r="N6" s="22"/>
      <c r="O6" s="22"/>
      <c r="P6" s="25"/>
      <c r="Q6" s="14">
        <v>0</v>
      </c>
      <c r="R6" s="18">
        <v>0</v>
      </c>
      <c r="S6" s="26"/>
      <c r="T6" s="26"/>
      <c r="U6" s="15"/>
      <c r="V6" s="102"/>
      <c r="W6" s="19"/>
    </row>
    <row r="7" spans="1:23" s="17" customFormat="1" ht="59.25" customHeight="1">
      <c r="A7" s="20">
        <v>3</v>
      </c>
      <c r="B7" s="21" t="s">
        <v>21</v>
      </c>
      <c r="C7" s="132" t="s">
        <v>22</v>
      </c>
      <c r="D7" s="132"/>
      <c r="E7" s="22">
        <v>300000</v>
      </c>
      <c r="F7" s="22">
        <v>0</v>
      </c>
      <c r="G7" s="22"/>
      <c r="H7" s="22"/>
      <c r="I7" s="22">
        <v>149054905.22999999</v>
      </c>
      <c r="J7" s="22">
        <v>66498524.289999999</v>
      </c>
      <c r="K7" s="28">
        <v>151179922.63999999</v>
      </c>
      <c r="L7" s="13">
        <v>80000000</v>
      </c>
      <c r="M7" s="24"/>
      <c r="N7" s="24"/>
      <c r="O7" s="22">
        <v>7686275</v>
      </c>
      <c r="P7" s="25"/>
      <c r="Q7" s="14">
        <v>0</v>
      </c>
      <c r="R7" s="18">
        <v>0</v>
      </c>
      <c r="S7" s="26"/>
      <c r="T7" s="26"/>
      <c r="U7" s="15"/>
      <c r="V7" s="101"/>
      <c r="W7" s="19"/>
    </row>
    <row r="8" spans="1:23" s="17" customFormat="1" ht="44.25" customHeight="1">
      <c r="A8" s="20">
        <v>4</v>
      </c>
      <c r="B8" s="133" t="s">
        <v>23</v>
      </c>
      <c r="C8" s="132" t="s">
        <v>24</v>
      </c>
      <c r="D8" s="132"/>
      <c r="E8" s="22">
        <v>1000000</v>
      </c>
      <c r="F8" s="22">
        <v>0</v>
      </c>
      <c r="G8" s="22"/>
      <c r="H8" s="22"/>
      <c r="I8" s="22">
        <v>171687536.18000001</v>
      </c>
      <c r="J8" s="22">
        <v>72635618.700000003</v>
      </c>
      <c r="K8" s="27">
        <v>151375234.63999999</v>
      </c>
      <c r="L8" s="13">
        <v>110000000</v>
      </c>
      <c r="M8" s="24"/>
      <c r="N8" s="24"/>
      <c r="O8" s="22">
        <v>0</v>
      </c>
      <c r="P8" s="25"/>
      <c r="Q8" s="14">
        <v>0</v>
      </c>
      <c r="R8" s="18">
        <v>0</v>
      </c>
      <c r="S8" s="26"/>
      <c r="T8" s="26"/>
      <c r="U8" s="15"/>
      <c r="V8" s="101"/>
      <c r="W8" s="19"/>
    </row>
    <row r="9" spans="1:23" s="17" customFormat="1" ht="33.75" customHeight="1">
      <c r="A9" s="20">
        <v>5</v>
      </c>
      <c r="B9" s="134"/>
      <c r="C9" s="135" t="s">
        <v>25</v>
      </c>
      <c r="D9" s="136"/>
      <c r="E9" s="22">
        <v>300000</v>
      </c>
      <c r="F9" s="22">
        <v>0</v>
      </c>
      <c r="G9" s="22"/>
      <c r="H9" s="22"/>
      <c r="I9" s="22"/>
      <c r="J9" s="22"/>
      <c r="K9" s="22"/>
      <c r="L9" s="13">
        <v>50000000</v>
      </c>
      <c r="M9" s="24"/>
      <c r="N9" s="24"/>
      <c r="O9" s="22">
        <v>20000000</v>
      </c>
      <c r="P9" s="25"/>
      <c r="Q9" s="14">
        <v>0</v>
      </c>
      <c r="R9" s="18">
        <v>0</v>
      </c>
      <c r="S9" s="26"/>
      <c r="T9" s="26"/>
      <c r="U9" s="15"/>
      <c r="V9" s="101"/>
      <c r="W9" s="19"/>
    </row>
    <row r="10" spans="1:23" s="17" customFormat="1" ht="27" customHeight="1">
      <c r="A10" s="20">
        <v>6</v>
      </c>
      <c r="B10" s="21" t="s">
        <v>26</v>
      </c>
      <c r="C10" s="137" t="s">
        <v>27</v>
      </c>
      <c r="D10" s="137"/>
      <c r="E10" s="22">
        <f>30000000-10000000</f>
        <v>20000000</v>
      </c>
      <c r="F10" s="22">
        <v>0</v>
      </c>
      <c r="G10" s="22"/>
      <c r="H10" s="22"/>
      <c r="I10" s="22">
        <v>76188789.359999999</v>
      </c>
      <c r="J10" s="22"/>
      <c r="K10" s="27">
        <v>77884351.799999997</v>
      </c>
      <c r="L10" s="13">
        <v>39353630.25</v>
      </c>
      <c r="M10" s="24"/>
      <c r="N10" s="24"/>
      <c r="O10" s="22">
        <v>26805433</v>
      </c>
      <c r="P10" s="25"/>
      <c r="Q10" s="14">
        <v>0</v>
      </c>
      <c r="R10" s="18">
        <v>0</v>
      </c>
      <c r="S10" s="26"/>
      <c r="T10" s="26"/>
      <c r="U10" s="15"/>
      <c r="V10" s="101"/>
      <c r="W10" s="19"/>
    </row>
    <row r="11" spans="1:23" s="17" customFormat="1" ht="32.25" customHeight="1">
      <c r="A11" s="20">
        <v>7</v>
      </c>
      <c r="B11" s="133" t="s">
        <v>28</v>
      </c>
      <c r="C11" s="132" t="s">
        <v>29</v>
      </c>
      <c r="D11" s="132"/>
      <c r="E11" s="22">
        <v>600000</v>
      </c>
      <c r="F11" s="22">
        <v>0</v>
      </c>
      <c r="G11" s="22"/>
      <c r="H11" s="22"/>
      <c r="I11" s="22">
        <v>79642587.560000002</v>
      </c>
      <c r="J11" s="29">
        <v>35047315.119999997</v>
      </c>
      <c r="K11" s="27">
        <v>81088035.239999995</v>
      </c>
      <c r="L11" s="22">
        <v>690000000</v>
      </c>
      <c r="M11" s="22"/>
      <c r="N11" s="22"/>
      <c r="O11" s="22">
        <v>10000000</v>
      </c>
      <c r="P11" s="25"/>
      <c r="Q11" s="14">
        <v>0</v>
      </c>
      <c r="R11" s="18">
        <v>0</v>
      </c>
      <c r="S11" s="26"/>
      <c r="T11" s="26"/>
      <c r="U11" s="15"/>
      <c r="V11" s="102"/>
      <c r="W11" s="19"/>
    </row>
    <row r="12" spans="1:23" s="17" customFormat="1" ht="93.75" customHeight="1">
      <c r="A12" s="20">
        <v>8</v>
      </c>
      <c r="B12" s="134"/>
      <c r="C12" s="135" t="s">
        <v>30</v>
      </c>
      <c r="D12" s="136"/>
      <c r="E12" s="30">
        <v>0</v>
      </c>
      <c r="F12" s="30"/>
      <c r="G12" s="22"/>
      <c r="H12" s="22"/>
      <c r="I12" s="22"/>
      <c r="J12" s="29"/>
      <c r="K12" s="27">
        <v>6102976.5599999996</v>
      </c>
      <c r="L12" s="13">
        <v>0</v>
      </c>
      <c r="M12" s="22"/>
      <c r="N12" s="22"/>
      <c r="O12" s="22"/>
      <c r="P12" s="25"/>
      <c r="Q12" s="14">
        <v>0</v>
      </c>
      <c r="R12" s="18">
        <v>0</v>
      </c>
      <c r="S12" s="26"/>
      <c r="T12" s="26"/>
      <c r="U12" s="15"/>
      <c r="V12" s="103"/>
      <c r="W12" s="19"/>
    </row>
    <row r="13" spans="1:23" s="17" customFormat="1" ht="36" customHeight="1">
      <c r="A13" s="20">
        <v>9</v>
      </c>
      <c r="B13" s="142" t="s">
        <v>31</v>
      </c>
      <c r="C13" s="132" t="s">
        <v>32</v>
      </c>
      <c r="D13" s="132"/>
      <c r="E13" s="22">
        <v>21000000</v>
      </c>
      <c r="F13" s="22">
        <v>0</v>
      </c>
      <c r="G13" s="22"/>
      <c r="H13" s="22"/>
      <c r="I13" s="22">
        <v>600033541.01999998</v>
      </c>
      <c r="J13" s="22">
        <v>276457601.32999998</v>
      </c>
      <c r="K13" s="31">
        <v>600158985.51999998</v>
      </c>
      <c r="L13" s="22">
        <v>5375120000</v>
      </c>
      <c r="M13" s="24"/>
      <c r="N13" s="24"/>
      <c r="O13" s="22">
        <v>190173553</v>
      </c>
      <c r="P13" s="25"/>
      <c r="Q13" s="14">
        <v>0</v>
      </c>
      <c r="R13" s="18">
        <v>0</v>
      </c>
      <c r="S13" s="26"/>
      <c r="T13" s="26"/>
      <c r="U13" s="15"/>
      <c r="V13" s="102"/>
      <c r="W13" s="19"/>
    </row>
    <row r="14" spans="1:23" s="17" customFormat="1" ht="42" customHeight="1">
      <c r="A14" s="20">
        <v>10</v>
      </c>
      <c r="B14" s="143"/>
      <c r="C14" s="135" t="s">
        <v>33</v>
      </c>
      <c r="D14" s="136"/>
      <c r="E14" s="30">
        <v>0</v>
      </c>
      <c r="F14" s="30"/>
      <c r="G14" s="22"/>
      <c r="H14" s="22"/>
      <c r="I14" s="22"/>
      <c r="J14" s="22"/>
      <c r="K14" s="27">
        <v>19100287.100000001</v>
      </c>
      <c r="L14" s="13">
        <v>0</v>
      </c>
      <c r="M14" s="24"/>
      <c r="N14" s="24"/>
      <c r="O14" s="22"/>
      <c r="P14" s="25"/>
      <c r="Q14" s="14">
        <v>0</v>
      </c>
      <c r="R14" s="18">
        <v>0</v>
      </c>
      <c r="S14" s="26"/>
      <c r="T14" s="26"/>
      <c r="U14" s="15"/>
      <c r="V14" s="103"/>
      <c r="W14" s="19"/>
    </row>
    <row r="15" spans="1:23" s="17" customFormat="1" ht="84" customHeight="1">
      <c r="A15" s="20">
        <v>11</v>
      </c>
      <c r="B15" s="143"/>
      <c r="C15" s="145" t="s">
        <v>34</v>
      </c>
      <c r="D15" s="146"/>
      <c r="E15" s="30">
        <v>0</v>
      </c>
      <c r="F15" s="30"/>
      <c r="G15" s="22"/>
      <c r="H15" s="22"/>
      <c r="I15" s="22"/>
      <c r="J15" s="22"/>
      <c r="K15" s="27">
        <v>4323089.16</v>
      </c>
      <c r="L15" s="13">
        <v>0</v>
      </c>
      <c r="M15" s="22"/>
      <c r="N15" s="22"/>
      <c r="O15" s="22"/>
      <c r="P15" s="25"/>
      <c r="Q15" s="14">
        <v>0</v>
      </c>
      <c r="R15" s="18">
        <v>0</v>
      </c>
      <c r="S15" s="26"/>
      <c r="T15" s="26"/>
      <c r="U15" s="15"/>
      <c r="V15" s="100"/>
      <c r="W15" s="19"/>
    </row>
    <row r="16" spans="1:23" s="17" customFormat="1" ht="43.5" customHeight="1">
      <c r="A16" s="20">
        <v>12</v>
      </c>
      <c r="B16" s="144"/>
      <c r="C16" s="135" t="s">
        <v>35</v>
      </c>
      <c r="D16" s="136"/>
      <c r="E16" s="22"/>
      <c r="F16" s="22"/>
      <c r="G16" s="22"/>
      <c r="H16" s="22"/>
      <c r="I16" s="22">
        <v>0</v>
      </c>
      <c r="J16" s="22"/>
      <c r="K16" s="22"/>
      <c r="L16" s="13">
        <v>15000000</v>
      </c>
      <c r="M16" s="24"/>
      <c r="N16" s="24"/>
      <c r="O16" s="22"/>
      <c r="P16" s="25"/>
      <c r="Q16" s="14">
        <v>0</v>
      </c>
      <c r="R16" s="18">
        <v>0</v>
      </c>
      <c r="S16" s="26"/>
      <c r="T16" s="26"/>
      <c r="U16" s="15"/>
      <c r="V16" s="104"/>
      <c r="W16" s="19"/>
    </row>
    <row r="17" spans="1:23" s="17" customFormat="1" ht="40.5" customHeight="1">
      <c r="A17" s="20">
        <v>13</v>
      </c>
      <c r="B17" s="21" t="s">
        <v>36</v>
      </c>
      <c r="C17" s="132" t="s">
        <v>37</v>
      </c>
      <c r="D17" s="132"/>
      <c r="E17" s="22">
        <v>70000</v>
      </c>
      <c r="F17" s="22">
        <v>0</v>
      </c>
      <c r="G17" s="22"/>
      <c r="H17" s="22"/>
      <c r="I17" s="22">
        <v>67299660.719999999</v>
      </c>
      <c r="J17" s="22">
        <v>27073241.07</v>
      </c>
      <c r="K17" s="27">
        <v>62428358.280000001</v>
      </c>
      <c r="L17" s="13">
        <v>60000000</v>
      </c>
      <c r="M17" s="24"/>
      <c r="N17" s="24"/>
      <c r="O17" s="22"/>
      <c r="P17" s="25"/>
      <c r="Q17" s="14">
        <v>0</v>
      </c>
      <c r="R17" s="18">
        <v>0</v>
      </c>
      <c r="S17" s="26"/>
      <c r="T17" s="26"/>
      <c r="U17" s="15"/>
      <c r="V17" s="104"/>
      <c r="W17" s="19"/>
    </row>
    <row r="18" spans="1:23" s="17" customFormat="1" ht="48.75" customHeight="1">
      <c r="A18" s="20">
        <v>14</v>
      </c>
      <c r="B18" s="32" t="s">
        <v>38</v>
      </c>
      <c r="C18" s="132" t="s">
        <v>39</v>
      </c>
      <c r="D18" s="132"/>
      <c r="E18" s="22">
        <v>0</v>
      </c>
      <c r="F18" s="22">
        <v>0</v>
      </c>
      <c r="G18" s="22"/>
      <c r="H18" s="22"/>
      <c r="I18" s="22">
        <v>19732648.920000002</v>
      </c>
      <c r="J18" s="22">
        <v>7993973.3600000003</v>
      </c>
      <c r="K18" s="27">
        <v>18440188.600000001</v>
      </c>
      <c r="L18" s="13">
        <v>294384205.5</v>
      </c>
      <c r="M18" s="24"/>
      <c r="N18" s="24"/>
      <c r="O18" s="22"/>
      <c r="P18" s="25"/>
      <c r="Q18" s="14">
        <v>0</v>
      </c>
      <c r="R18" s="18">
        <v>0</v>
      </c>
      <c r="S18" s="26"/>
      <c r="T18" s="26"/>
      <c r="U18" s="15"/>
      <c r="V18" s="104"/>
      <c r="W18" s="19"/>
    </row>
    <row r="19" spans="1:23" s="17" customFormat="1" ht="39.75" customHeight="1">
      <c r="A19" s="20">
        <v>15</v>
      </c>
      <c r="B19" s="21" t="s">
        <v>40</v>
      </c>
      <c r="C19" s="132" t="s">
        <v>41</v>
      </c>
      <c r="D19" s="132"/>
      <c r="E19" s="22"/>
      <c r="F19" s="22">
        <v>0</v>
      </c>
      <c r="G19" s="22"/>
      <c r="H19" s="22"/>
      <c r="I19" s="22">
        <v>0</v>
      </c>
      <c r="J19" s="22"/>
      <c r="K19" s="22"/>
      <c r="L19" s="13">
        <v>17717510.25</v>
      </c>
      <c r="M19" s="22"/>
      <c r="N19" s="22"/>
      <c r="O19" s="22"/>
      <c r="P19" s="25"/>
      <c r="Q19" s="14">
        <v>0</v>
      </c>
      <c r="R19" s="18">
        <v>0</v>
      </c>
      <c r="S19" s="26"/>
      <c r="T19" s="26"/>
      <c r="U19" s="15"/>
      <c r="V19" s="104"/>
      <c r="W19" s="19"/>
    </row>
    <row r="20" spans="1:23" s="17" customFormat="1" ht="42" customHeight="1">
      <c r="A20" s="20">
        <v>16</v>
      </c>
      <c r="B20" s="21" t="s">
        <v>42</v>
      </c>
      <c r="C20" s="132" t="s">
        <v>43</v>
      </c>
      <c r="D20" s="132"/>
      <c r="E20" s="22">
        <v>5000</v>
      </c>
      <c r="F20" s="22">
        <v>0</v>
      </c>
      <c r="G20" s="22"/>
      <c r="H20" s="22"/>
      <c r="I20" s="22">
        <v>59362644.100000001</v>
      </c>
      <c r="J20" s="22"/>
      <c r="K20" s="27">
        <v>61807591.560000002</v>
      </c>
      <c r="L20" s="13">
        <v>24413892.25</v>
      </c>
      <c r="M20" s="22"/>
      <c r="N20" s="22"/>
      <c r="O20" s="22"/>
      <c r="P20" s="25"/>
      <c r="Q20" s="14">
        <v>0</v>
      </c>
      <c r="R20" s="18">
        <v>0</v>
      </c>
      <c r="S20" s="26"/>
      <c r="T20" s="26"/>
      <c r="U20" s="15"/>
      <c r="V20" s="104"/>
      <c r="W20" s="19"/>
    </row>
    <row r="21" spans="1:23" s="17" customFormat="1" ht="42" customHeight="1">
      <c r="A21" s="139" t="s">
        <v>44</v>
      </c>
      <c r="B21" s="140"/>
      <c r="C21" s="140"/>
      <c r="D21" s="141"/>
      <c r="E21" s="24">
        <f t="shared" ref="E21:O21" si="3">SUM(E22:E23)</f>
        <v>3000000</v>
      </c>
      <c r="F21" s="24">
        <f t="shared" si="3"/>
        <v>0</v>
      </c>
      <c r="G21" s="24">
        <f t="shared" si="3"/>
        <v>0</v>
      </c>
      <c r="H21" s="24">
        <f t="shared" ref="H21" si="4">SUM(H22:H23)</f>
        <v>0</v>
      </c>
      <c r="I21" s="24">
        <f t="shared" si="3"/>
        <v>416819835.96000004</v>
      </c>
      <c r="J21" s="24">
        <f t="shared" si="3"/>
        <v>0</v>
      </c>
      <c r="K21" s="24">
        <f t="shared" ref="K21" si="5">SUM(K22:K23)</f>
        <v>413881689.12</v>
      </c>
      <c r="L21" s="24">
        <v>6811300376</v>
      </c>
      <c r="M21" s="24">
        <f t="shared" si="3"/>
        <v>0</v>
      </c>
      <c r="N21" s="24">
        <f t="shared" ref="N21" si="6">SUM(N22:N23)</f>
        <v>0</v>
      </c>
      <c r="O21" s="24">
        <f t="shared" si="3"/>
        <v>1500000000</v>
      </c>
      <c r="P21" s="24">
        <v>0</v>
      </c>
      <c r="Q21" s="24">
        <v>0</v>
      </c>
      <c r="R21" s="24">
        <v>0</v>
      </c>
      <c r="S21" s="33"/>
      <c r="T21" s="33"/>
      <c r="U21" s="15"/>
      <c r="V21" s="105"/>
      <c r="W21" s="19"/>
    </row>
    <row r="22" spans="1:23" s="17" customFormat="1" ht="38.25" customHeight="1">
      <c r="A22" s="20">
        <v>17</v>
      </c>
      <c r="B22" s="21" t="s">
        <v>45</v>
      </c>
      <c r="C22" s="132" t="s">
        <v>44</v>
      </c>
      <c r="D22" s="132"/>
      <c r="E22" s="22">
        <v>3000000</v>
      </c>
      <c r="F22" s="22">
        <v>0</v>
      </c>
      <c r="G22" s="22"/>
      <c r="H22" s="22"/>
      <c r="I22" s="22">
        <v>354697887.48000002</v>
      </c>
      <c r="J22" s="22"/>
      <c r="K22" s="27">
        <v>370949991.48000002</v>
      </c>
      <c r="L22" s="22">
        <v>6611300376</v>
      </c>
      <c r="M22" s="22"/>
      <c r="N22" s="22"/>
      <c r="O22" s="22">
        <v>1500000000</v>
      </c>
      <c r="P22" s="25"/>
      <c r="Q22" s="14">
        <v>0</v>
      </c>
      <c r="R22" s="18">
        <v>0</v>
      </c>
      <c r="S22" s="26"/>
      <c r="T22" s="26"/>
      <c r="U22" s="15"/>
      <c r="V22" s="104"/>
      <c r="W22" s="19"/>
    </row>
    <row r="23" spans="1:23" s="17" customFormat="1" ht="58.5" customHeight="1">
      <c r="A23" s="20">
        <v>18</v>
      </c>
      <c r="B23" s="20"/>
      <c r="C23" s="132" t="s">
        <v>46</v>
      </c>
      <c r="D23" s="132"/>
      <c r="E23" s="22"/>
      <c r="F23" s="22">
        <v>0</v>
      </c>
      <c r="G23" s="22"/>
      <c r="H23" s="22"/>
      <c r="I23" s="22">
        <v>62121948.479999997</v>
      </c>
      <c r="J23" s="22"/>
      <c r="K23" s="27">
        <v>42931697.640000001</v>
      </c>
      <c r="L23" s="13">
        <v>200000000</v>
      </c>
      <c r="M23" s="22"/>
      <c r="N23" s="22"/>
      <c r="O23" s="22"/>
      <c r="P23" s="25"/>
      <c r="Q23" s="14">
        <v>0</v>
      </c>
      <c r="R23" s="18">
        <v>0</v>
      </c>
      <c r="S23" s="26"/>
      <c r="T23" s="26"/>
      <c r="U23" s="15"/>
      <c r="V23" s="104"/>
      <c r="W23" s="19"/>
    </row>
    <row r="24" spans="1:23" s="17" customFormat="1" ht="33.75" customHeight="1">
      <c r="A24" s="129" t="s">
        <v>47</v>
      </c>
      <c r="B24" s="130"/>
      <c r="C24" s="130"/>
      <c r="D24" s="131"/>
      <c r="E24" s="13">
        <f t="shared" ref="E24:K24" si="7">SUM(E25:E37)</f>
        <v>2500000</v>
      </c>
      <c r="F24" s="13">
        <f t="shared" si="7"/>
        <v>0</v>
      </c>
      <c r="G24" s="13">
        <f t="shared" si="7"/>
        <v>0</v>
      </c>
      <c r="H24" s="13">
        <f t="shared" si="7"/>
        <v>0</v>
      </c>
      <c r="I24" s="13">
        <f t="shared" si="7"/>
        <v>258024475.47999999</v>
      </c>
      <c r="J24" s="13">
        <f t="shared" si="7"/>
        <v>0</v>
      </c>
      <c r="K24" s="13">
        <f t="shared" si="7"/>
        <v>299058386.04000002</v>
      </c>
      <c r="L24" s="13">
        <v>666470452.04999995</v>
      </c>
      <c r="M24" s="13">
        <f t="shared" ref="M24:O24" si="8">SUM(M25:M37)</f>
        <v>0</v>
      </c>
      <c r="N24" s="13">
        <f t="shared" si="8"/>
        <v>0</v>
      </c>
      <c r="O24" s="13">
        <f t="shared" si="8"/>
        <v>17860373506</v>
      </c>
      <c r="P24" s="14">
        <v>0</v>
      </c>
      <c r="Q24" s="14">
        <v>40000000</v>
      </c>
      <c r="R24" s="14">
        <v>40000000</v>
      </c>
      <c r="S24" s="15"/>
      <c r="T24" s="15"/>
      <c r="U24" s="15"/>
      <c r="V24" s="100"/>
      <c r="W24" s="19"/>
    </row>
    <row r="25" spans="1:23" s="17" customFormat="1" ht="64.5" customHeight="1">
      <c r="A25" s="20">
        <v>19</v>
      </c>
      <c r="B25" s="147" t="s">
        <v>48</v>
      </c>
      <c r="C25" s="132" t="s">
        <v>49</v>
      </c>
      <c r="D25" s="132"/>
      <c r="E25" s="22">
        <v>2500000</v>
      </c>
      <c r="F25" s="22">
        <v>0</v>
      </c>
      <c r="G25" s="22"/>
      <c r="H25" s="22"/>
      <c r="I25" s="22">
        <v>258024475.47999999</v>
      </c>
      <c r="J25" s="22"/>
      <c r="K25" s="27">
        <v>299058386.04000002</v>
      </c>
      <c r="L25" s="13">
        <v>163437056.75</v>
      </c>
      <c r="M25" s="24"/>
      <c r="N25" s="24"/>
      <c r="O25" s="22">
        <v>0</v>
      </c>
      <c r="P25" s="25"/>
      <c r="Q25" s="14">
        <v>0</v>
      </c>
      <c r="R25" s="18">
        <v>0</v>
      </c>
      <c r="S25" s="26"/>
      <c r="T25" s="26"/>
      <c r="U25" s="15"/>
      <c r="V25" s="104"/>
      <c r="W25" s="19"/>
    </row>
    <row r="26" spans="1:23" s="17" customFormat="1" ht="50.25" customHeight="1">
      <c r="A26" s="20">
        <v>20</v>
      </c>
      <c r="B26" s="148"/>
      <c r="C26" s="132" t="s">
        <v>50</v>
      </c>
      <c r="D26" s="132"/>
      <c r="E26" s="22"/>
      <c r="F26" s="22">
        <v>0</v>
      </c>
      <c r="G26" s="22"/>
      <c r="H26" s="22"/>
      <c r="I26" s="22"/>
      <c r="J26" s="22"/>
      <c r="K26" s="22"/>
      <c r="L26" s="13">
        <v>428153395.30000001</v>
      </c>
      <c r="M26" s="22"/>
      <c r="N26" s="22"/>
      <c r="O26" s="22"/>
      <c r="P26" s="25"/>
      <c r="Q26" s="14">
        <v>0</v>
      </c>
      <c r="R26" s="18">
        <v>0</v>
      </c>
      <c r="S26" s="26"/>
      <c r="T26" s="26"/>
      <c r="U26" s="15"/>
      <c r="V26" s="104"/>
      <c r="W26" s="19"/>
    </row>
    <row r="27" spans="1:23" s="36" customFormat="1" ht="48.75" customHeight="1">
      <c r="A27" s="20">
        <v>21</v>
      </c>
      <c r="B27" s="148"/>
      <c r="C27" s="132" t="s">
        <v>51</v>
      </c>
      <c r="D27" s="132"/>
      <c r="E27" s="22"/>
      <c r="F27" s="22">
        <v>0</v>
      </c>
      <c r="G27" s="22"/>
      <c r="H27" s="22"/>
      <c r="I27" s="22"/>
      <c r="J27" s="22"/>
      <c r="K27" s="22"/>
      <c r="L27" s="13">
        <v>0</v>
      </c>
      <c r="M27" s="24"/>
      <c r="N27" s="24"/>
      <c r="O27" s="22">
        <f>3200000000-1000000000-200000000</f>
        <v>2000000000</v>
      </c>
      <c r="P27" s="25"/>
      <c r="Q27" s="14">
        <v>0</v>
      </c>
      <c r="R27" s="18">
        <v>0</v>
      </c>
      <c r="S27" s="34"/>
      <c r="T27" s="34"/>
      <c r="U27" s="106"/>
      <c r="V27" s="107"/>
      <c r="W27" s="35"/>
    </row>
    <row r="28" spans="1:23" s="17" customFormat="1" ht="40.5" customHeight="1">
      <c r="A28" s="20">
        <v>22</v>
      </c>
      <c r="B28" s="148"/>
      <c r="C28" s="135" t="s">
        <v>52</v>
      </c>
      <c r="D28" s="136"/>
      <c r="E28" s="22"/>
      <c r="F28" s="22"/>
      <c r="G28" s="22"/>
      <c r="H28" s="22"/>
      <c r="I28" s="22"/>
      <c r="J28" s="22"/>
      <c r="K28" s="22"/>
      <c r="L28" s="22">
        <v>74880000</v>
      </c>
      <c r="M28" s="24"/>
      <c r="N28" s="24"/>
      <c r="O28" s="22"/>
      <c r="P28" s="25"/>
      <c r="Q28" s="14">
        <v>0</v>
      </c>
      <c r="R28" s="18">
        <v>0</v>
      </c>
      <c r="S28" s="26"/>
      <c r="T28" s="26"/>
      <c r="U28" s="15"/>
      <c r="V28" s="100"/>
      <c r="W28" s="19"/>
    </row>
    <row r="29" spans="1:23" s="17" customFormat="1" ht="33.75" customHeight="1">
      <c r="A29" s="20">
        <v>23</v>
      </c>
      <c r="B29" s="148"/>
      <c r="C29" s="132" t="s">
        <v>53</v>
      </c>
      <c r="D29" s="132"/>
      <c r="E29" s="22"/>
      <c r="F29" s="22">
        <v>0</v>
      </c>
      <c r="G29" s="22"/>
      <c r="H29" s="22"/>
      <c r="I29" s="22"/>
      <c r="J29" s="22"/>
      <c r="K29" s="22"/>
      <c r="L29" s="13">
        <v>0</v>
      </c>
      <c r="M29" s="22"/>
      <c r="N29" s="22"/>
      <c r="O29" s="22">
        <v>100000000</v>
      </c>
      <c r="P29" s="25"/>
      <c r="Q29" s="14">
        <v>0</v>
      </c>
      <c r="R29" s="18">
        <v>0</v>
      </c>
      <c r="S29" s="26"/>
      <c r="T29" s="26"/>
      <c r="U29" s="15"/>
      <c r="V29" s="108"/>
      <c r="W29" s="19"/>
    </row>
    <row r="30" spans="1:23" s="17" customFormat="1" ht="54" customHeight="1">
      <c r="A30" s="20">
        <v>24</v>
      </c>
      <c r="B30" s="148"/>
      <c r="C30" s="132" t="s">
        <v>54</v>
      </c>
      <c r="D30" s="132"/>
      <c r="E30" s="22"/>
      <c r="F30" s="22">
        <v>0</v>
      </c>
      <c r="G30" s="22"/>
      <c r="H30" s="22"/>
      <c r="I30" s="22"/>
      <c r="J30" s="22"/>
      <c r="K30" s="22"/>
      <c r="L30" s="13">
        <v>0</v>
      </c>
      <c r="M30" s="24"/>
      <c r="N30" s="24"/>
      <c r="O30" s="22">
        <f>2700000000-200000000-500000000</f>
        <v>2000000000</v>
      </c>
      <c r="P30" s="25"/>
      <c r="Q30" s="14">
        <v>0</v>
      </c>
      <c r="R30" s="18">
        <v>0</v>
      </c>
      <c r="S30" s="26"/>
      <c r="T30" s="26"/>
      <c r="U30" s="15"/>
      <c r="V30" s="109"/>
      <c r="W30" s="19"/>
    </row>
    <row r="31" spans="1:23" s="17" customFormat="1" ht="37.5" customHeight="1">
      <c r="A31" s="20">
        <v>25</v>
      </c>
      <c r="B31" s="148"/>
      <c r="C31" s="132" t="s">
        <v>55</v>
      </c>
      <c r="D31" s="132"/>
      <c r="E31" s="22"/>
      <c r="F31" s="22">
        <v>0</v>
      </c>
      <c r="G31" s="22"/>
      <c r="H31" s="22"/>
      <c r="I31" s="22"/>
      <c r="J31" s="22"/>
      <c r="K31" s="22"/>
      <c r="L31" s="13">
        <v>0</v>
      </c>
      <c r="M31" s="24"/>
      <c r="N31" s="24"/>
      <c r="O31" s="22">
        <f>9050297297-1700000000</f>
        <v>7350297297</v>
      </c>
      <c r="P31" s="25"/>
      <c r="Q31" s="14">
        <v>0</v>
      </c>
      <c r="R31" s="18">
        <v>0</v>
      </c>
      <c r="S31" s="26"/>
      <c r="T31" s="26"/>
      <c r="U31" s="15"/>
      <c r="V31" s="108"/>
      <c r="W31" s="19"/>
    </row>
    <row r="32" spans="1:23" s="17" customFormat="1" ht="45.75" customHeight="1">
      <c r="A32" s="20">
        <v>26</v>
      </c>
      <c r="B32" s="148"/>
      <c r="C32" s="132" t="s">
        <v>56</v>
      </c>
      <c r="D32" s="132"/>
      <c r="E32" s="22"/>
      <c r="F32" s="22">
        <v>0</v>
      </c>
      <c r="G32" s="22"/>
      <c r="H32" s="22"/>
      <c r="I32" s="22"/>
      <c r="J32" s="22"/>
      <c r="K32" s="22"/>
      <c r="L32" s="13">
        <v>0</v>
      </c>
      <c r="M32" s="24"/>
      <c r="N32" s="24"/>
      <c r="O32" s="22">
        <f>5000000000-500000000</f>
        <v>4500000000</v>
      </c>
      <c r="P32" s="25"/>
      <c r="Q32" s="14">
        <v>0</v>
      </c>
      <c r="R32" s="18">
        <v>0</v>
      </c>
      <c r="S32" s="26"/>
      <c r="T32" s="26"/>
      <c r="U32" s="15"/>
      <c r="V32" s="108"/>
      <c r="W32" s="19"/>
    </row>
    <row r="33" spans="1:23" s="17" customFormat="1" ht="48" customHeight="1">
      <c r="A33" s="20">
        <v>27</v>
      </c>
      <c r="B33" s="148"/>
      <c r="C33" s="135" t="s">
        <v>57</v>
      </c>
      <c r="D33" s="136"/>
      <c r="E33" s="22"/>
      <c r="F33" s="22">
        <v>0</v>
      </c>
      <c r="G33" s="22"/>
      <c r="H33" s="22"/>
      <c r="I33" s="22"/>
      <c r="J33" s="22"/>
      <c r="K33" s="22"/>
      <c r="L33" s="13">
        <v>0</v>
      </c>
      <c r="M33" s="22"/>
      <c r="N33" s="22"/>
      <c r="O33" s="22"/>
      <c r="P33" s="25"/>
      <c r="Q33" s="14">
        <v>0</v>
      </c>
      <c r="R33" s="18">
        <v>0</v>
      </c>
      <c r="S33" s="26"/>
      <c r="T33" s="26"/>
      <c r="U33" s="15"/>
      <c r="V33" s="100"/>
      <c r="W33" s="19"/>
    </row>
    <row r="34" spans="1:23" s="17" customFormat="1" ht="25.5" customHeight="1">
      <c r="A34" s="20">
        <v>28</v>
      </c>
      <c r="B34" s="148"/>
      <c r="C34" s="152" t="s">
        <v>58</v>
      </c>
      <c r="D34" s="153"/>
      <c r="E34" s="22"/>
      <c r="F34" s="22">
        <v>0</v>
      </c>
      <c r="G34" s="22"/>
      <c r="H34" s="22"/>
      <c r="I34" s="22"/>
      <c r="J34" s="22"/>
      <c r="K34" s="22"/>
      <c r="L34" s="13">
        <v>0</v>
      </c>
      <c r="M34" s="24"/>
      <c r="N34" s="24"/>
      <c r="O34" s="22">
        <f>2448450000-98000000-90000000-1200000000-161636317-471931833</f>
        <v>426881850</v>
      </c>
      <c r="P34" s="25"/>
      <c r="Q34" s="14">
        <v>0</v>
      </c>
      <c r="R34" s="18">
        <v>0</v>
      </c>
      <c r="S34" s="26"/>
      <c r="T34" s="26"/>
      <c r="U34" s="15"/>
      <c r="V34" s="100"/>
      <c r="W34" s="19"/>
    </row>
    <row r="35" spans="1:23" s="17" customFormat="1" ht="24.75" customHeight="1">
      <c r="A35" s="20">
        <v>29</v>
      </c>
      <c r="B35" s="148"/>
      <c r="C35" s="152" t="s">
        <v>59</v>
      </c>
      <c r="D35" s="153"/>
      <c r="E35" s="22"/>
      <c r="F35" s="22">
        <v>0</v>
      </c>
      <c r="G35" s="22"/>
      <c r="H35" s="22"/>
      <c r="I35" s="22"/>
      <c r="J35" s="22"/>
      <c r="K35" s="22"/>
      <c r="L35" s="13">
        <v>0</v>
      </c>
      <c r="M35" s="22"/>
      <c r="N35" s="22"/>
      <c r="O35" s="22">
        <f>2448000000+450000-1015255641</f>
        <v>1433194359</v>
      </c>
      <c r="P35" s="25"/>
      <c r="Q35" s="14">
        <v>0</v>
      </c>
      <c r="R35" s="18">
        <v>0</v>
      </c>
      <c r="S35" s="26"/>
      <c r="T35" s="26"/>
      <c r="U35" s="15"/>
      <c r="V35" s="100"/>
      <c r="W35" s="19"/>
    </row>
    <row r="36" spans="1:23" s="17" customFormat="1" ht="33" customHeight="1">
      <c r="A36" s="20">
        <v>30</v>
      </c>
      <c r="B36" s="148"/>
      <c r="C36" s="135" t="s">
        <v>60</v>
      </c>
      <c r="D36" s="136"/>
      <c r="E36" s="22"/>
      <c r="F36" s="22"/>
      <c r="G36" s="22"/>
      <c r="H36" s="22"/>
      <c r="I36" s="22"/>
      <c r="J36" s="22"/>
      <c r="K36" s="22"/>
      <c r="L36" s="13">
        <v>0</v>
      </c>
      <c r="M36" s="22"/>
      <c r="N36" s="22"/>
      <c r="O36" s="22">
        <v>50000000</v>
      </c>
      <c r="P36" s="25"/>
      <c r="Q36" s="14">
        <v>0</v>
      </c>
      <c r="R36" s="18">
        <v>0</v>
      </c>
      <c r="S36" s="26"/>
      <c r="T36" s="26"/>
      <c r="U36" s="15"/>
      <c r="V36" s="104"/>
      <c r="W36" s="19"/>
    </row>
    <row r="37" spans="1:23" s="17" customFormat="1" ht="57.75" customHeight="1">
      <c r="A37" s="20">
        <v>31</v>
      </c>
      <c r="B37" s="149"/>
      <c r="C37" s="132" t="s">
        <v>61</v>
      </c>
      <c r="D37" s="132"/>
      <c r="E37" s="22"/>
      <c r="F37" s="22"/>
      <c r="G37" s="22"/>
      <c r="H37" s="22"/>
      <c r="I37" s="22"/>
      <c r="J37" s="22"/>
      <c r="K37" s="22"/>
      <c r="L37" s="13">
        <v>0</v>
      </c>
      <c r="M37" s="22"/>
      <c r="N37" s="22"/>
      <c r="O37" s="24"/>
      <c r="P37" s="25">
        <v>0</v>
      </c>
      <c r="Q37" s="14">
        <v>40000000</v>
      </c>
      <c r="R37" s="18">
        <v>40000000</v>
      </c>
      <c r="S37" s="34"/>
      <c r="T37" s="34"/>
      <c r="U37" s="15"/>
      <c r="V37" s="101"/>
      <c r="W37" s="19"/>
    </row>
    <row r="38" spans="1:23" s="17" customFormat="1" ht="42.75" customHeight="1">
      <c r="A38" s="129" t="s">
        <v>62</v>
      </c>
      <c r="B38" s="130"/>
      <c r="C38" s="130"/>
      <c r="D38" s="131"/>
      <c r="E38" s="13">
        <f t="shared" ref="E38:O38" si="9">SUM(E39:E64)</f>
        <v>128716000</v>
      </c>
      <c r="F38" s="13">
        <f t="shared" si="9"/>
        <v>0</v>
      </c>
      <c r="G38" s="13">
        <f t="shared" si="9"/>
        <v>0</v>
      </c>
      <c r="H38" s="13">
        <f t="shared" si="9"/>
        <v>0</v>
      </c>
      <c r="I38" s="13">
        <f t="shared" si="9"/>
        <v>17538016717.169998</v>
      </c>
      <c r="J38" s="13">
        <f t="shared" si="9"/>
        <v>8678120343.8200016</v>
      </c>
      <c r="K38" s="13">
        <f t="shared" si="9"/>
        <v>24858292967.470005</v>
      </c>
      <c r="L38" s="13">
        <v>805671060.88999999</v>
      </c>
      <c r="M38" s="13">
        <f t="shared" si="9"/>
        <v>0</v>
      </c>
      <c r="N38" s="13">
        <f t="shared" si="9"/>
        <v>0</v>
      </c>
      <c r="O38" s="13">
        <f t="shared" si="9"/>
        <v>65544229.850000001</v>
      </c>
      <c r="P38" s="14">
        <v>21617351</v>
      </c>
      <c r="Q38" s="14">
        <v>213907035.19999999</v>
      </c>
      <c r="R38" s="14">
        <v>235524386.19999999</v>
      </c>
      <c r="S38" s="15"/>
      <c r="T38" s="15"/>
      <c r="U38" s="15"/>
      <c r="V38" s="100"/>
      <c r="W38" s="19"/>
    </row>
    <row r="39" spans="1:23" s="17" customFormat="1" ht="53.25" customHeight="1">
      <c r="A39" s="20">
        <v>32</v>
      </c>
      <c r="B39" s="133" t="s">
        <v>63</v>
      </c>
      <c r="C39" s="132" t="s">
        <v>64</v>
      </c>
      <c r="D39" s="132"/>
      <c r="E39" s="22">
        <v>2500000</v>
      </c>
      <c r="F39" s="22">
        <v>0</v>
      </c>
      <c r="G39" s="22"/>
      <c r="H39" s="22"/>
      <c r="I39" s="22">
        <v>217424114.03</v>
      </c>
      <c r="J39" s="22">
        <v>96202754.769999996</v>
      </c>
      <c r="K39" s="23">
        <v>324565507.72000003</v>
      </c>
      <c r="L39" s="13">
        <v>95005216.899999991</v>
      </c>
      <c r="M39" s="22"/>
      <c r="N39" s="22"/>
      <c r="O39" s="22">
        <v>5000000</v>
      </c>
      <c r="P39" s="25"/>
      <c r="Q39" s="14">
        <v>0</v>
      </c>
      <c r="R39" s="18">
        <v>0</v>
      </c>
      <c r="S39" s="26"/>
      <c r="T39" s="26"/>
      <c r="U39" s="15"/>
      <c r="V39" s="101"/>
      <c r="W39" s="19"/>
    </row>
    <row r="40" spans="1:23" s="17" customFormat="1" ht="94.5" customHeight="1">
      <c r="A40" s="20">
        <v>33</v>
      </c>
      <c r="B40" s="156"/>
      <c r="C40" s="145" t="s">
        <v>65</v>
      </c>
      <c r="D40" s="146"/>
      <c r="E40" s="150">
        <v>0</v>
      </c>
      <c r="F40" s="151"/>
      <c r="G40" s="22"/>
      <c r="H40" s="22"/>
      <c r="I40" s="24"/>
      <c r="J40" s="24"/>
      <c r="K40" s="27">
        <v>230460000</v>
      </c>
      <c r="L40" s="13">
        <v>0</v>
      </c>
      <c r="M40" s="24"/>
      <c r="N40" s="24"/>
      <c r="O40" s="22"/>
      <c r="P40" s="25"/>
      <c r="Q40" s="14">
        <v>0</v>
      </c>
      <c r="R40" s="18">
        <v>0</v>
      </c>
      <c r="S40" s="26"/>
      <c r="T40" s="26"/>
      <c r="U40" s="15"/>
      <c r="V40" s="110"/>
      <c r="W40" s="19"/>
    </row>
    <row r="41" spans="1:23" s="17" customFormat="1" ht="38.25" customHeight="1">
      <c r="A41" s="20">
        <v>34</v>
      </c>
      <c r="B41" s="156"/>
      <c r="C41" s="135" t="s">
        <v>66</v>
      </c>
      <c r="D41" s="136"/>
      <c r="E41" s="22"/>
      <c r="F41" s="22">
        <v>0</v>
      </c>
      <c r="G41" s="22"/>
      <c r="H41" s="22"/>
      <c r="I41" s="22"/>
      <c r="J41" s="22"/>
      <c r="K41" s="22"/>
      <c r="L41" s="13">
        <v>149472808.64999998</v>
      </c>
      <c r="M41" s="22"/>
      <c r="N41" s="22"/>
      <c r="O41" s="22"/>
      <c r="P41" s="25"/>
      <c r="Q41" s="14">
        <v>0</v>
      </c>
      <c r="R41" s="18">
        <v>0</v>
      </c>
      <c r="S41" s="26"/>
      <c r="T41" s="26"/>
      <c r="U41" s="15"/>
      <c r="V41" s="101"/>
      <c r="W41" s="19"/>
    </row>
    <row r="42" spans="1:23" s="17" customFormat="1" ht="43.5" customHeight="1">
      <c r="A42" s="20">
        <v>35</v>
      </c>
      <c r="B42" s="156"/>
      <c r="C42" s="135" t="s">
        <v>67</v>
      </c>
      <c r="D42" s="136"/>
      <c r="E42" s="22"/>
      <c r="F42" s="22"/>
      <c r="G42" s="22"/>
      <c r="H42" s="22"/>
      <c r="I42" s="22"/>
      <c r="J42" s="22"/>
      <c r="K42" s="22"/>
      <c r="L42" s="13">
        <v>24912135.050000001</v>
      </c>
      <c r="M42" s="22"/>
      <c r="N42" s="22"/>
      <c r="O42" s="22"/>
      <c r="P42" s="25"/>
      <c r="Q42" s="14">
        <v>0</v>
      </c>
      <c r="R42" s="18">
        <v>0</v>
      </c>
      <c r="S42" s="26"/>
      <c r="T42" s="26"/>
      <c r="U42" s="15"/>
      <c r="V42" s="101"/>
      <c r="W42" s="19"/>
    </row>
    <row r="43" spans="1:23" s="17" customFormat="1" ht="41.25" customHeight="1">
      <c r="A43" s="20">
        <v>36</v>
      </c>
      <c r="B43" s="156"/>
      <c r="C43" s="132" t="s">
        <v>68</v>
      </c>
      <c r="D43" s="132"/>
      <c r="E43" s="22"/>
      <c r="F43" s="22">
        <v>0</v>
      </c>
      <c r="G43" s="22"/>
      <c r="H43" s="22"/>
      <c r="I43" s="22">
        <v>2658784426.8200002</v>
      </c>
      <c r="J43" s="22">
        <v>1175819201.27</v>
      </c>
      <c r="K43" s="27">
        <v>2461920576.96</v>
      </c>
      <c r="L43" s="13">
        <v>0</v>
      </c>
      <c r="M43" s="22"/>
      <c r="N43" s="22"/>
      <c r="O43" s="22"/>
      <c r="P43" s="25"/>
      <c r="Q43" s="14">
        <v>0</v>
      </c>
      <c r="R43" s="18">
        <v>0</v>
      </c>
      <c r="S43" s="26"/>
      <c r="T43" s="26"/>
      <c r="U43" s="15"/>
      <c r="V43" s="100"/>
      <c r="W43" s="19"/>
    </row>
    <row r="44" spans="1:23" s="17" customFormat="1" ht="36.75" customHeight="1">
      <c r="A44" s="20">
        <v>37</v>
      </c>
      <c r="B44" s="156"/>
      <c r="C44" s="132" t="s">
        <v>69</v>
      </c>
      <c r="D44" s="132"/>
      <c r="E44" s="22"/>
      <c r="F44" s="22"/>
      <c r="G44" s="22"/>
      <c r="H44" s="22"/>
      <c r="I44" s="22">
        <v>320000000</v>
      </c>
      <c r="J44" s="22">
        <v>153856692.58000001</v>
      </c>
      <c r="K44" s="27">
        <v>300000000</v>
      </c>
      <c r="L44" s="13">
        <v>0</v>
      </c>
      <c r="M44" s="22"/>
      <c r="N44" s="22"/>
      <c r="O44" s="22"/>
      <c r="P44" s="25"/>
      <c r="Q44" s="14">
        <v>0</v>
      </c>
      <c r="R44" s="18">
        <v>0</v>
      </c>
      <c r="S44" s="26"/>
      <c r="T44" s="26"/>
      <c r="U44" s="15"/>
      <c r="V44" s="100"/>
      <c r="W44" s="19"/>
    </row>
    <row r="45" spans="1:23" s="17" customFormat="1" ht="44.25" customHeight="1">
      <c r="A45" s="20">
        <v>38</v>
      </c>
      <c r="B45" s="156"/>
      <c r="C45" s="132" t="s">
        <v>70</v>
      </c>
      <c r="D45" s="132"/>
      <c r="E45" s="22"/>
      <c r="F45" s="22">
        <v>0</v>
      </c>
      <c r="G45" s="22"/>
      <c r="H45" s="22"/>
      <c r="I45" s="22">
        <f>1428652626.31+300000000</f>
        <v>1728652626.3099999</v>
      </c>
      <c r="J45" s="22">
        <v>1326783840.6400001</v>
      </c>
      <c r="K45" s="27">
        <v>1400000000</v>
      </c>
      <c r="L45" s="13">
        <v>0</v>
      </c>
      <c r="M45" s="22"/>
      <c r="N45" s="22"/>
      <c r="O45" s="22"/>
      <c r="P45" s="25"/>
      <c r="Q45" s="14">
        <v>0</v>
      </c>
      <c r="R45" s="18">
        <v>0</v>
      </c>
      <c r="S45" s="26"/>
      <c r="T45" s="26"/>
      <c r="U45" s="15"/>
      <c r="V45" s="100"/>
      <c r="W45" s="19"/>
    </row>
    <row r="46" spans="1:23" s="17" customFormat="1" ht="49.5" customHeight="1">
      <c r="A46" s="20">
        <v>39</v>
      </c>
      <c r="B46" s="156"/>
      <c r="C46" s="132" t="s">
        <v>71</v>
      </c>
      <c r="D46" s="132"/>
      <c r="E46" s="22"/>
      <c r="F46" s="22"/>
      <c r="G46" s="22"/>
      <c r="H46" s="22"/>
      <c r="I46" s="22">
        <v>3500000000</v>
      </c>
      <c r="J46" s="22">
        <v>1547694284.3699999</v>
      </c>
      <c r="K46" s="23">
        <v>3762268348.4899998</v>
      </c>
      <c r="L46" s="13">
        <v>0</v>
      </c>
      <c r="M46" s="22"/>
      <c r="N46" s="22"/>
      <c r="O46" s="22"/>
      <c r="P46" s="25"/>
      <c r="Q46" s="14">
        <v>0</v>
      </c>
      <c r="R46" s="18">
        <v>0</v>
      </c>
      <c r="S46" s="26"/>
      <c r="T46" s="26"/>
      <c r="U46" s="15"/>
      <c r="V46" s="100"/>
      <c r="W46" s="19"/>
    </row>
    <row r="47" spans="1:23" s="17" customFormat="1" ht="48.75" customHeight="1">
      <c r="A47" s="20">
        <v>40</v>
      </c>
      <c r="B47" s="156"/>
      <c r="C47" s="154" t="s">
        <v>72</v>
      </c>
      <c r="D47" s="155"/>
      <c r="E47" s="37">
        <v>0</v>
      </c>
      <c r="F47" s="37"/>
      <c r="G47" s="22"/>
      <c r="H47" s="22"/>
      <c r="I47" s="22"/>
      <c r="J47" s="22"/>
      <c r="K47" s="14">
        <v>1297797837.0999999</v>
      </c>
      <c r="L47" s="13">
        <v>0</v>
      </c>
      <c r="M47" s="22"/>
      <c r="N47" s="22"/>
      <c r="O47" s="22"/>
      <c r="P47" s="25"/>
      <c r="Q47" s="14">
        <v>0</v>
      </c>
      <c r="R47" s="18">
        <v>0</v>
      </c>
      <c r="S47" s="26"/>
      <c r="T47" s="26"/>
      <c r="U47" s="15"/>
      <c r="V47" s="100"/>
      <c r="W47" s="19"/>
    </row>
    <row r="48" spans="1:23" s="17" customFormat="1" ht="59.25" customHeight="1">
      <c r="A48" s="20">
        <v>41</v>
      </c>
      <c r="B48" s="156"/>
      <c r="C48" s="132" t="s">
        <v>73</v>
      </c>
      <c r="D48" s="132"/>
      <c r="E48" s="22"/>
      <c r="F48" s="22"/>
      <c r="G48" s="22"/>
      <c r="H48" s="22"/>
      <c r="I48" s="22">
        <v>3500000000</v>
      </c>
      <c r="J48" s="22">
        <v>1785985804.6500001</v>
      </c>
      <c r="K48" s="23">
        <v>3866297200.6700001</v>
      </c>
      <c r="L48" s="13">
        <v>0</v>
      </c>
      <c r="M48" s="22"/>
      <c r="N48" s="22"/>
      <c r="O48" s="22"/>
      <c r="P48" s="25"/>
      <c r="Q48" s="14">
        <v>0</v>
      </c>
      <c r="R48" s="18">
        <v>0</v>
      </c>
      <c r="S48" s="26"/>
      <c r="T48" s="26"/>
      <c r="U48" s="15"/>
      <c r="V48" s="100"/>
      <c r="W48" s="19"/>
    </row>
    <row r="49" spans="1:23" s="17" customFormat="1" ht="59.25" customHeight="1">
      <c r="A49" s="20">
        <v>42</v>
      </c>
      <c r="B49" s="156"/>
      <c r="C49" s="135" t="s">
        <v>74</v>
      </c>
      <c r="D49" s="136"/>
      <c r="E49" s="37">
        <v>0</v>
      </c>
      <c r="F49" s="37"/>
      <c r="G49" s="22"/>
      <c r="H49" s="22"/>
      <c r="I49" s="22"/>
      <c r="J49" s="22"/>
      <c r="K49" s="23">
        <v>3858257524</v>
      </c>
      <c r="L49" s="13">
        <v>0</v>
      </c>
      <c r="M49" s="22"/>
      <c r="N49" s="22"/>
      <c r="O49" s="22"/>
      <c r="P49" s="25"/>
      <c r="Q49" s="14">
        <v>0</v>
      </c>
      <c r="R49" s="18">
        <v>0</v>
      </c>
      <c r="S49" s="26"/>
      <c r="T49" s="26"/>
      <c r="U49" s="15"/>
      <c r="V49" s="100"/>
      <c r="W49" s="19"/>
    </row>
    <row r="50" spans="1:23" s="17" customFormat="1" ht="63" customHeight="1">
      <c r="A50" s="20">
        <v>43</v>
      </c>
      <c r="B50" s="156"/>
      <c r="C50" s="132" t="s">
        <v>75</v>
      </c>
      <c r="D50" s="132"/>
      <c r="E50" s="22"/>
      <c r="F50" s="22"/>
      <c r="G50" s="22"/>
      <c r="H50" s="22"/>
      <c r="I50" s="22">
        <v>3200000000</v>
      </c>
      <c r="J50" s="22">
        <v>1520599553.8699999</v>
      </c>
      <c r="K50" s="23">
        <v>3200000000</v>
      </c>
      <c r="L50" s="13">
        <v>0</v>
      </c>
      <c r="M50" s="22"/>
      <c r="N50" s="22"/>
      <c r="O50" s="22"/>
      <c r="P50" s="25"/>
      <c r="Q50" s="14">
        <v>0</v>
      </c>
      <c r="R50" s="18">
        <v>0</v>
      </c>
      <c r="S50" s="26"/>
      <c r="T50" s="26"/>
      <c r="U50" s="15"/>
      <c r="V50" s="100"/>
      <c r="W50" s="19"/>
    </row>
    <row r="51" spans="1:23" s="17" customFormat="1" ht="51.75" customHeight="1">
      <c r="A51" s="20">
        <v>44</v>
      </c>
      <c r="B51" s="156"/>
      <c r="C51" s="132" t="s">
        <v>76</v>
      </c>
      <c r="D51" s="132"/>
      <c r="E51" s="37">
        <v>0</v>
      </c>
      <c r="F51" s="37"/>
      <c r="G51" s="22"/>
      <c r="H51" s="22"/>
      <c r="I51" s="22"/>
      <c r="J51" s="22"/>
      <c r="K51" s="23">
        <v>975927304.33000004</v>
      </c>
      <c r="L51" s="13">
        <v>0</v>
      </c>
      <c r="M51" s="22"/>
      <c r="N51" s="22"/>
      <c r="O51" s="22"/>
      <c r="P51" s="25"/>
      <c r="Q51" s="14">
        <v>0</v>
      </c>
      <c r="R51" s="18">
        <v>0</v>
      </c>
      <c r="S51" s="26"/>
      <c r="T51" s="26"/>
      <c r="U51" s="15"/>
      <c r="V51" s="100"/>
      <c r="W51" s="19"/>
    </row>
    <row r="52" spans="1:23" s="17" customFormat="1" ht="65.25" customHeight="1">
      <c r="A52" s="20">
        <v>45</v>
      </c>
      <c r="B52" s="156"/>
      <c r="C52" s="132" t="s">
        <v>77</v>
      </c>
      <c r="D52" s="132"/>
      <c r="E52" s="38">
        <v>0</v>
      </c>
      <c r="F52" s="38"/>
      <c r="G52" s="22"/>
      <c r="H52" s="22"/>
      <c r="I52" s="22"/>
      <c r="J52" s="22"/>
      <c r="K52" s="23">
        <v>74345471.879999995</v>
      </c>
      <c r="L52" s="13">
        <v>0</v>
      </c>
      <c r="M52" s="22"/>
      <c r="N52" s="22"/>
      <c r="O52" s="22"/>
      <c r="P52" s="25"/>
      <c r="Q52" s="14">
        <v>0</v>
      </c>
      <c r="R52" s="18">
        <v>0</v>
      </c>
      <c r="S52" s="26"/>
      <c r="T52" s="26"/>
      <c r="U52" s="15"/>
      <c r="V52" s="100"/>
      <c r="W52" s="19"/>
    </row>
    <row r="53" spans="1:23" s="17" customFormat="1" ht="66.75" customHeight="1">
      <c r="A53" s="20">
        <v>46</v>
      </c>
      <c r="B53" s="156"/>
      <c r="C53" s="132" t="s">
        <v>78</v>
      </c>
      <c r="D53" s="132"/>
      <c r="E53" s="22"/>
      <c r="F53" s="22"/>
      <c r="G53" s="22"/>
      <c r="H53" s="22"/>
      <c r="I53" s="22"/>
      <c r="J53" s="22"/>
      <c r="K53" s="23">
        <v>341292856.19999999</v>
      </c>
      <c r="L53" s="13">
        <v>0</v>
      </c>
      <c r="M53" s="22"/>
      <c r="N53" s="22"/>
      <c r="O53" s="22"/>
      <c r="P53" s="25"/>
      <c r="Q53" s="14">
        <v>0</v>
      </c>
      <c r="R53" s="18">
        <v>0</v>
      </c>
      <c r="S53" s="26"/>
      <c r="T53" s="26"/>
      <c r="U53" s="15"/>
      <c r="V53" s="100"/>
      <c r="W53" s="19"/>
    </row>
    <row r="54" spans="1:23" s="17" customFormat="1" ht="52.5" customHeight="1">
      <c r="A54" s="20">
        <v>47</v>
      </c>
      <c r="B54" s="156"/>
      <c r="C54" s="132" t="s">
        <v>79</v>
      </c>
      <c r="D54" s="132"/>
      <c r="E54" s="22"/>
      <c r="F54" s="22"/>
      <c r="G54" s="22"/>
      <c r="H54" s="22"/>
      <c r="I54" s="22">
        <v>311054281</v>
      </c>
      <c r="J54" s="22">
        <v>90508200.640000001</v>
      </c>
      <c r="K54" s="23">
        <v>234348867</v>
      </c>
      <c r="L54" s="13">
        <v>0</v>
      </c>
      <c r="M54" s="22"/>
      <c r="N54" s="22"/>
      <c r="O54" s="22"/>
      <c r="P54" s="25"/>
      <c r="Q54" s="14">
        <v>0</v>
      </c>
      <c r="R54" s="18">
        <v>0</v>
      </c>
      <c r="S54" s="26"/>
      <c r="T54" s="26"/>
      <c r="U54" s="15"/>
      <c r="V54" s="100"/>
      <c r="W54" s="19"/>
    </row>
    <row r="55" spans="1:23" s="17" customFormat="1" ht="57.75" customHeight="1">
      <c r="A55" s="20">
        <v>48</v>
      </c>
      <c r="B55" s="156"/>
      <c r="C55" s="132" t="s">
        <v>80</v>
      </c>
      <c r="D55" s="132"/>
      <c r="E55" s="22"/>
      <c r="F55" s="22"/>
      <c r="G55" s="22"/>
      <c r="H55" s="22"/>
      <c r="I55" s="22">
        <v>369877350.12</v>
      </c>
      <c r="J55" s="22">
        <v>128000000</v>
      </c>
      <c r="K55" s="39">
        <v>200000000</v>
      </c>
      <c r="L55" s="13">
        <v>0</v>
      </c>
      <c r="M55" s="22"/>
      <c r="N55" s="22"/>
      <c r="O55" s="22"/>
      <c r="P55" s="25"/>
      <c r="Q55" s="14">
        <v>0</v>
      </c>
      <c r="R55" s="18">
        <v>0</v>
      </c>
      <c r="S55" s="26"/>
      <c r="T55" s="26"/>
      <c r="U55" s="15"/>
      <c r="V55" s="100"/>
      <c r="W55" s="19"/>
    </row>
    <row r="56" spans="1:23" s="17" customFormat="1" ht="38.25" customHeight="1">
      <c r="A56" s="20">
        <v>49</v>
      </c>
      <c r="B56" s="156"/>
      <c r="C56" s="132" t="s">
        <v>81</v>
      </c>
      <c r="D56" s="132"/>
      <c r="E56" s="22"/>
      <c r="F56" s="22"/>
      <c r="G56" s="22"/>
      <c r="H56" s="22"/>
      <c r="I56" s="22">
        <v>1200000000</v>
      </c>
      <c r="J56" s="22">
        <v>600000000</v>
      </c>
      <c r="K56" s="39">
        <v>1200000000</v>
      </c>
      <c r="L56" s="13">
        <v>0</v>
      </c>
      <c r="M56" s="22"/>
      <c r="N56" s="22"/>
      <c r="O56" s="22"/>
      <c r="P56" s="25"/>
      <c r="Q56" s="14">
        <v>0</v>
      </c>
      <c r="R56" s="18">
        <v>0</v>
      </c>
      <c r="S56" s="26"/>
      <c r="T56" s="26"/>
      <c r="U56" s="15"/>
      <c r="V56" s="100"/>
      <c r="W56" s="19"/>
    </row>
    <row r="57" spans="1:23" s="17" customFormat="1" ht="51" customHeight="1">
      <c r="A57" s="20">
        <v>50</v>
      </c>
      <c r="B57" s="134"/>
      <c r="C57" s="135" t="s">
        <v>82</v>
      </c>
      <c r="D57" s="136"/>
      <c r="E57" s="22"/>
      <c r="F57" s="22"/>
      <c r="G57" s="22"/>
      <c r="H57" s="22"/>
      <c r="I57" s="22">
        <v>0</v>
      </c>
      <c r="J57" s="22">
        <v>0</v>
      </c>
      <c r="K57" s="39">
        <v>600000000</v>
      </c>
      <c r="L57" s="13">
        <v>0</v>
      </c>
      <c r="M57" s="22"/>
      <c r="N57" s="22"/>
      <c r="O57" s="22"/>
      <c r="P57" s="25"/>
      <c r="Q57" s="14">
        <v>0</v>
      </c>
      <c r="R57" s="18">
        <v>0</v>
      </c>
      <c r="S57" s="26"/>
      <c r="T57" s="26"/>
      <c r="U57" s="15"/>
      <c r="V57" s="100"/>
      <c r="W57" s="19"/>
    </row>
    <row r="58" spans="1:23" s="17" customFormat="1" ht="39" customHeight="1">
      <c r="A58" s="20">
        <v>51</v>
      </c>
      <c r="B58" s="40" t="s">
        <v>83</v>
      </c>
      <c r="C58" s="132" t="s">
        <v>84</v>
      </c>
      <c r="D58" s="132"/>
      <c r="E58" s="22">
        <f>81050000-10000000</f>
        <v>71050000</v>
      </c>
      <c r="F58" s="22">
        <v>0</v>
      </c>
      <c r="G58" s="22"/>
      <c r="H58" s="22"/>
      <c r="I58" s="22">
        <v>312193634.51999998</v>
      </c>
      <c r="J58" s="22">
        <v>145565596.66999999</v>
      </c>
      <c r="K58" s="27">
        <v>313804488.48000002</v>
      </c>
      <c r="L58" s="13">
        <v>307030900.29000002</v>
      </c>
      <c r="M58" s="22"/>
      <c r="N58" s="22"/>
      <c r="O58" s="22">
        <v>13870365.85</v>
      </c>
      <c r="P58" s="25"/>
      <c r="Q58" s="14">
        <v>0</v>
      </c>
      <c r="R58" s="18">
        <v>0</v>
      </c>
      <c r="S58" s="26"/>
      <c r="T58" s="26"/>
      <c r="U58" s="15"/>
      <c r="V58" s="104"/>
      <c r="W58" s="19"/>
    </row>
    <row r="59" spans="1:23" s="17" customFormat="1" ht="55.5" customHeight="1">
      <c r="A59" s="20">
        <v>52</v>
      </c>
      <c r="B59" s="41"/>
      <c r="C59" s="135" t="s">
        <v>85</v>
      </c>
      <c r="D59" s="136"/>
      <c r="E59" s="22"/>
      <c r="F59" s="22"/>
      <c r="G59" s="22"/>
      <c r="H59" s="22"/>
      <c r="I59" s="22"/>
      <c r="J59" s="22"/>
      <c r="K59" s="22"/>
      <c r="L59" s="13">
        <v>100000000</v>
      </c>
      <c r="M59" s="22"/>
      <c r="N59" s="22"/>
      <c r="O59" s="22"/>
      <c r="P59" s="25"/>
      <c r="Q59" s="14">
        <v>0</v>
      </c>
      <c r="R59" s="18">
        <v>0</v>
      </c>
      <c r="S59" s="26"/>
      <c r="T59" s="26"/>
      <c r="U59" s="15"/>
      <c r="V59" s="100"/>
      <c r="W59" s="19"/>
    </row>
    <row r="60" spans="1:23" s="17" customFormat="1" ht="39" customHeight="1">
      <c r="A60" s="20">
        <v>53</v>
      </c>
      <c r="B60" s="21" t="s">
        <v>86</v>
      </c>
      <c r="C60" s="132" t="s">
        <v>87</v>
      </c>
      <c r="D60" s="132"/>
      <c r="E60" s="22">
        <v>250000</v>
      </c>
      <c r="F60" s="22">
        <v>0</v>
      </c>
      <c r="G60" s="22"/>
      <c r="H60" s="22"/>
      <c r="I60" s="24">
        <v>139799159.44</v>
      </c>
      <c r="J60" s="24">
        <v>68277650.359999999</v>
      </c>
      <c r="K60" s="27">
        <v>136509717.59999999</v>
      </c>
      <c r="L60" s="13">
        <v>110000000</v>
      </c>
      <c r="M60" s="24"/>
      <c r="N60" s="24"/>
      <c r="O60" s="22"/>
      <c r="P60" s="25"/>
      <c r="Q60" s="14">
        <v>0</v>
      </c>
      <c r="R60" s="18">
        <v>0</v>
      </c>
      <c r="S60" s="26"/>
      <c r="T60" s="26"/>
      <c r="U60" s="15"/>
      <c r="V60" s="101"/>
      <c r="W60" s="19"/>
    </row>
    <row r="61" spans="1:23" s="17" customFormat="1" ht="46.5" customHeight="1">
      <c r="A61" s="20">
        <v>54</v>
      </c>
      <c r="B61" s="21" t="s">
        <v>88</v>
      </c>
      <c r="C61" s="132" t="s">
        <v>89</v>
      </c>
      <c r="D61" s="132"/>
      <c r="E61" s="22">
        <v>35645000</v>
      </c>
      <c r="F61" s="22">
        <v>0</v>
      </c>
      <c r="G61" s="22"/>
      <c r="H61" s="22"/>
      <c r="I61" s="22"/>
      <c r="J61" s="22"/>
      <c r="K61" s="22"/>
      <c r="L61" s="13">
        <v>0</v>
      </c>
      <c r="M61" s="22"/>
      <c r="N61" s="22"/>
      <c r="O61" s="22">
        <v>42452864</v>
      </c>
      <c r="P61" s="25"/>
      <c r="Q61" s="14">
        <v>152000000</v>
      </c>
      <c r="R61" s="18">
        <v>152000000</v>
      </c>
      <c r="S61" s="34"/>
      <c r="T61" s="34"/>
      <c r="U61" s="15"/>
      <c r="V61" s="101"/>
      <c r="W61" s="19"/>
    </row>
    <row r="62" spans="1:23" s="17" customFormat="1" ht="30.75" customHeight="1">
      <c r="A62" s="20">
        <v>55</v>
      </c>
      <c r="B62" s="21" t="s">
        <v>88</v>
      </c>
      <c r="C62" s="132" t="s">
        <v>90</v>
      </c>
      <c r="D62" s="132"/>
      <c r="E62" s="22"/>
      <c r="F62" s="22">
        <v>0</v>
      </c>
      <c r="G62" s="22"/>
      <c r="H62" s="22"/>
      <c r="I62" s="22"/>
      <c r="J62" s="22"/>
      <c r="K62" s="22"/>
      <c r="L62" s="13">
        <v>0</v>
      </c>
      <c r="M62" s="22"/>
      <c r="N62" s="22"/>
      <c r="O62" s="24"/>
      <c r="P62" s="25"/>
      <c r="Q62" s="14">
        <v>17600000</v>
      </c>
      <c r="R62" s="18">
        <v>17600000</v>
      </c>
      <c r="S62" s="34"/>
      <c r="T62" s="34"/>
      <c r="U62" s="15"/>
      <c r="V62" s="101"/>
      <c r="W62" s="19"/>
    </row>
    <row r="63" spans="1:23" s="17" customFormat="1" ht="37.5" customHeight="1">
      <c r="A63" s="20">
        <v>56</v>
      </c>
      <c r="B63" s="21" t="s">
        <v>91</v>
      </c>
      <c r="C63" s="132" t="s">
        <v>92</v>
      </c>
      <c r="D63" s="132"/>
      <c r="E63" s="22">
        <v>21000</v>
      </c>
      <c r="F63" s="22">
        <v>0</v>
      </c>
      <c r="G63" s="22"/>
      <c r="H63" s="22"/>
      <c r="I63" s="22">
        <v>80231124.930000007</v>
      </c>
      <c r="J63" s="22">
        <v>38826764</v>
      </c>
      <c r="K63" s="23">
        <v>80497267.040000007</v>
      </c>
      <c r="L63" s="13">
        <v>19250000</v>
      </c>
      <c r="M63" s="22"/>
      <c r="N63" s="22"/>
      <c r="O63" s="22">
        <v>4221000</v>
      </c>
      <c r="P63" s="25"/>
      <c r="Q63" s="14">
        <v>0</v>
      </c>
      <c r="R63" s="18">
        <v>0</v>
      </c>
      <c r="S63" s="34"/>
      <c r="T63" s="34"/>
      <c r="U63" s="15"/>
      <c r="V63" s="102"/>
      <c r="W63" s="19"/>
    </row>
    <row r="64" spans="1:23" s="17" customFormat="1" ht="42" customHeight="1">
      <c r="A64" s="20">
        <v>57</v>
      </c>
      <c r="B64" s="21" t="s">
        <v>88</v>
      </c>
      <c r="C64" s="132" t="s">
        <v>93</v>
      </c>
      <c r="D64" s="132"/>
      <c r="E64" s="22">
        <v>19250000</v>
      </c>
      <c r="F64" s="22">
        <v>0</v>
      </c>
      <c r="G64" s="22"/>
      <c r="H64" s="22"/>
      <c r="I64" s="22"/>
      <c r="J64" s="22"/>
      <c r="K64" s="22"/>
      <c r="L64" s="13">
        <v>0</v>
      </c>
      <c r="M64" s="22"/>
      <c r="N64" s="22"/>
      <c r="O64" s="22"/>
      <c r="P64" s="25">
        <v>21617351</v>
      </c>
      <c r="Q64" s="14">
        <v>44307035.200000003</v>
      </c>
      <c r="R64" s="18">
        <v>65924386.200000003</v>
      </c>
      <c r="S64" s="34"/>
      <c r="T64" s="34"/>
      <c r="U64" s="15"/>
      <c r="V64" s="101"/>
      <c r="W64" s="19"/>
    </row>
    <row r="65" spans="1:23" s="17" customFormat="1" ht="30" customHeight="1">
      <c r="A65" s="139" t="s">
        <v>94</v>
      </c>
      <c r="B65" s="140"/>
      <c r="C65" s="140"/>
      <c r="D65" s="141"/>
      <c r="E65" s="13">
        <f t="shared" ref="E65:O65" si="10">SUM(E66:E87)</f>
        <v>422202302679</v>
      </c>
      <c r="F65" s="13">
        <f t="shared" si="10"/>
        <v>2833500000</v>
      </c>
      <c r="G65" s="13">
        <f t="shared" si="10"/>
        <v>1433500000</v>
      </c>
      <c r="H65" s="13">
        <f t="shared" si="10"/>
        <v>1433500000</v>
      </c>
      <c r="I65" s="13">
        <f t="shared" si="10"/>
        <v>462715652.49000007</v>
      </c>
      <c r="J65" s="13">
        <f t="shared" si="10"/>
        <v>205835052.43000001</v>
      </c>
      <c r="K65" s="13">
        <f t="shared" si="10"/>
        <v>436776422.20000005</v>
      </c>
      <c r="L65" s="13">
        <v>55953265470.322998</v>
      </c>
      <c r="M65" s="13">
        <f t="shared" si="10"/>
        <v>1900000000</v>
      </c>
      <c r="N65" s="13">
        <f t="shared" si="10"/>
        <v>1900000000</v>
      </c>
      <c r="O65" s="13">
        <f t="shared" si="10"/>
        <v>3598498605.1599998</v>
      </c>
      <c r="P65" s="14">
        <v>67229643.099999994</v>
      </c>
      <c r="Q65" s="14">
        <v>62216285.519999996</v>
      </c>
      <c r="R65" s="14">
        <v>129445928.62</v>
      </c>
      <c r="S65" s="15"/>
      <c r="T65" s="15"/>
      <c r="U65" s="15"/>
      <c r="V65" s="100"/>
      <c r="W65" s="19"/>
    </row>
    <row r="66" spans="1:23" s="17" customFormat="1" ht="31.5" customHeight="1">
      <c r="A66" s="20">
        <v>58</v>
      </c>
      <c r="B66" s="133" t="s">
        <v>95</v>
      </c>
      <c r="C66" s="132" t="s">
        <v>96</v>
      </c>
      <c r="D66" s="132"/>
      <c r="E66" s="22">
        <v>6761430000</v>
      </c>
      <c r="F66" s="22">
        <v>0</v>
      </c>
      <c r="G66" s="22">
        <v>0</v>
      </c>
      <c r="H66" s="22">
        <v>0</v>
      </c>
      <c r="I66" s="22">
        <v>120043948.45</v>
      </c>
      <c r="J66" s="22">
        <v>70674819</v>
      </c>
      <c r="K66" s="27">
        <v>138303288.72</v>
      </c>
      <c r="L66" s="96">
        <v>1780749166.4499998</v>
      </c>
      <c r="M66" s="22"/>
      <c r="N66" s="22"/>
      <c r="O66" s="22">
        <v>260000000</v>
      </c>
      <c r="P66" s="25"/>
      <c r="Q66" s="14">
        <v>0</v>
      </c>
      <c r="R66" s="18">
        <v>0</v>
      </c>
      <c r="S66" s="26"/>
      <c r="T66" s="26"/>
      <c r="U66" s="15"/>
      <c r="V66" s="101"/>
      <c r="W66" s="19"/>
    </row>
    <row r="67" spans="1:23" s="17" customFormat="1" ht="31.5" customHeight="1">
      <c r="A67" s="20">
        <v>59</v>
      </c>
      <c r="B67" s="156"/>
      <c r="C67" s="135" t="s">
        <v>97</v>
      </c>
      <c r="D67" s="136"/>
      <c r="E67" s="22">
        <f>750000000-50000000</f>
        <v>700000000</v>
      </c>
      <c r="F67" s="22">
        <v>0</v>
      </c>
      <c r="G67" s="22">
        <v>0</v>
      </c>
      <c r="H67" s="22">
        <v>0</v>
      </c>
      <c r="I67" s="22"/>
      <c r="J67" s="22"/>
      <c r="K67" s="22"/>
      <c r="L67" s="13">
        <v>0</v>
      </c>
      <c r="M67" s="22"/>
      <c r="N67" s="22"/>
      <c r="O67" s="22"/>
      <c r="P67" s="25"/>
      <c r="Q67" s="14">
        <v>0</v>
      </c>
      <c r="R67" s="18">
        <v>0</v>
      </c>
      <c r="S67" s="26"/>
      <c r="T67" s="26"/>
      <c r="U67" s="15"/>
      <c r="V67" s="100"/>
      <c r="W67" s="19"/>
    </row>
    <row r="68" spans="1:23" s="36" customFormat="1" ht="45" customHeight="1">
      <c r="A68" s="20">
        <v>60</v>
      </c>
      <c r="B68" s="134"/>
      <c r="C68" s="135" t="s">
        <v>98</v>
      </c>
      <c r="D68" s="136"/>
      <c r="E68" s="22">
        <v>0</v>
      </c>
      <c r="F68" s="22">
        <v>0</v>
      </c>
      <c r="G68" s="22">
        <v>0</v>
      </c>
      <c r="H68" s="22">
        <v>0</v>
      </c>
      <c r="I68" s="22"/>
      <c r="J68" s="22"/>
      <c r="K68" s="22"/>
      <c r="L68" s="13">
        <v>0</v>
      </c>
      <c r="M68" s="22"/>
      <c r="N68" s="22"/>
      <c r="O68" s="22">
        <f>1358843716-358843716</f>
        <v>1000000000</v>
      </c>
      <c r="P68" s="25"/>
      <c r="Q68" s="14">
        <v>0</v>
      </c>
      <c r="R68" s="18">
        <v>0</v>
      </c>
      <c r="S68" s="26"/>
      <c r="T68" s="26"/>
      <c r="U68" s="15"/>
      <c r="V68" s="104"/>
      <c r="W68" s="19"/>
    </row>
    <row r="69" spans="1:23" s="36" customFormat="1" ht="53.25" customHeight="1">
      <c r="A69" s="20">
        <v>61</v>
      </c>
      <c r="B69" s="133" t="s">
        <v>88</v>
      </c>
      <c r="C69" s="135" t="s">
        <v>99</v>
      </c>
      <c r="D69" s="136"/>
      <c r="E69" s="22">
        <f>60000000-10000000</f>
        <v>50000000</v>
      </c>
      <c r="F69" s="22">
        <v>0</v>
      </c>
      <c r="G69" s="22"/>
      <c r="H69" s="22"/>
      <c r="I69" s="22"/>
      <c r="J69" s="22"/>
      <c r="K69" s="22"/>
      <c r="L69" s="13">
        <v>314000000</v>
      </c>
      <c r="M69" s="24"/>
      <c r="N69" s="24"/>
      <c r="O69" s="22">
        <v>157065821</v>
      </c>
      <c r="P69" s="25"/>
      <c r="Q69" s="14">
        <v>0</v>
      </c>
      <c r="R69" s="18">
        <v>0</v>
      </c>
      <c r="S69" s="34"/>
      <c r="T69" s="34"/>
      <c r="U69" s="15"/>
      <c r="V69" s="104"/>
      <c r="W69" s="19"/>
    </row>
    <row r="70" spans="1:23" s="17" customFormat="1" ht="42" customHeight="1">
      <c r="A70" s="20">
        <v>62</v>
      </c>
      <c r="B70" s="134"/>
      <c r="C70" s="135" t="s">
        <v>100</v>
      </c>
      <c r="D70" s="136"/>
      <c r="E70" s="22"/>
      <c r="F70" s="22"/>
      <c r="G70" s="22"/>
      <c r="H70" s="22"/>
      <c r="I70" s="22"/>
      <c r="J70" s="22"/>
      <c r="K70" s="22"/>
      <c r="L70" s="13">
        <v>270000000</v>
      </c>
      <c r="M70" s="24"/>
      <c r="N70" s="24"/>
      <c r="O70" s="22"/>
      <c r="P70" s="25"/>
      <c r="Q70" s="14">
        <v>0</v>
      </c>
      <c r="R70" s="18">
        <v>0</v>
      </c>
      <c r="S70" s="34"/>
      <c r="T70" s="34"/>
      <c r="U70" s="15"/>
      <c r="V70" s="100"/>
      <c r="W70" s="19"/>
    </row>
    <row r="71" spans="1:23" s="36" customFormat="1" ht="46.5" customHeight="1">
      <c r="A71" s="20">
        <v>63</v>
      </c>
      <c r="B71" s="147" t="s">
        <v>101</v>
      </c>
      <c r="C71" s="132" t="s">
        <v>102</v>
      </c>
      <c r="D71" s="132"/>
      <c r="E71" s="22">
        <f>665050000+5263412679</f>
        <v>5928462679</v>
      </c>
      <c r="F71" s="22">
        <v>1333500000</v>
      </c>
      <c r="G71" s="22">
        <v>1333500000</v>
      </c>
      <c r="H71" s="22">
        <v>1333500000</v>
      </c>
      <c r="I71" s="22">
        <v>265646544.84</v>
      </c>
      <c r="J71" s="22">
        <v>103867414.8</v>
      </c>
      <c r="K71" s="27">
        <v>219165085.96000001</v>
      </c>
      <c r="L71" s="13">
        <v>835753020.79499972</v>
      </c>
      <c r="M71" s="22"/>
      <c r="N71" s="22"/>
      <c r="O71" s="22">
        <v>88900000</v>
      </c>
      <c r="P71" s="25"/>
      <c r="Q71" s="14">
        <v>0</v>
      </c>
      <c r="R71" s="18">
        <v>0</v>
      </c>
      <c r="S71" s="26"/>
      <c r="T71" s="26"/>
      <c r="U71" s="15"/>
      <c r="V71" s="104"/>
      <c r="W71" s="19"/>
    </row>
    <row r="72" spans="1:23" s="36" customFormat="1" ht="46.5" customHeight="1">
      <c r="A72" s="20">
        <v>64</v>
      </c>
      <c r="B72" s="148"/>
      <c r="C72" s="135" t="s">
        <v>103</v>
      </c>
      <c r="D72" s="136"/>
      <c r="E72" s="22"/>
      <c r="F72" s="22"/>
      <c r="G72" s="22"/>
      <c r="H72" s="22"/>
      <c r="I72" s="22"/>
      <c r="J72" s="22"/>
      <c r="K72" s="27"/>
      <c r="L72" s="13">
        <v>19045700000</v>
      </c>
      <c r="M72" s="22"/>
      <c r="N72" s="22"/>
      <c r="O72" s="22"/>
      <c r="P72" s="25"/>
      <c r="Q72" s="14">
        <v>0</v>
      </c>
      <c r="R72" s="18">
        <v>0</v>
      </c>
      <c r="S72" s="26"/>
      <c r="T72" s="26"/>
      <c r="U72" s="15"/>
      <c r="V72" s="104"/>
      <c r="W72" s="19"/>
    </row>
    <row r="73" spans="1:23" s="17" customFormat="1" ht="30" customHeight="1">
      <c r="A73" s="20">
        <v>65</v>
      </c>
      <c r="B73" s="148"/>
      <c r="C73" s="132" t="s">
        <v>104</v>
      </c>
      <c r="D73" s="132"/>
      <c r="E73" s="22">
        <v>54000000000</v>
      </c>
      <c r="F73" s="22">
        <v>0</v>
      </c>
      <c r="G73" s="22"/>
      <c r="H73" s="22"/>
      <c r="I73" s="22"/>
      <c r="J73" s="22"/>
      <c r="K73" s="22"/>
      <c r="L73" s="13">
        <v>0</v>
      </c>
      <c r="M73" s="22"/>
      <c r="N73" s="22"/>
      <c r="O73" s="22"/>
      <c r="P73" s="25"/>
      <c r="Q73" s="14">
        <v>0</v>
      </c>
      <c r="R73" s="18">
        <v>0</v>
      </c>
      <c r="S73" s="26"/>
      <c r="T73" s="26"/>
      <c r="U73" s="15"/>
      <c r="V73" s="100"/>
      <c r="W73" s="19"/>
    </row>
    <row r="74" spans="1:23" s="17" customFormat="1" ht="30" customHeight="1">
      <c r="A74" s="20">
        <v>66</v>
      </c>
      <c r="B74" s="148"/>
      <c r="C74" s="132" t="s">
        <v>105</v>
      </c>
      <c r="D74" s="132"/>
      <c r="E74" s="22">
        <f>80000000000-8000000000</f>
        <v>72000000000</v>
      </c>
      <c r="F74" s="22">
        <v>0</v>
      </c>
      <c r="G74" s="22"/>
      <c r="H74" s="22"/>
      <c r="I74" s="22"/>
      <c r="J74" s="22"/>
      <c r="K74" s="22"/>
      <c r="L74" s="13">
        <v>0</v>
      </c>
      <c r="M74" s="22"/>
      <c r="N74" s="22"/>
      <c r="O74" s="22"/>
      <c r="P74" s="25"/>
      <c r="Q74" s="14">
        <v>0</v>
      </c>
      <c r="R74" s="18">
        <v>0</v>
      </c>
      <c r="S74" s="26"/>
      <c r="T74" s="26"/>
      <c r="U74" s="15"/>
      <c r="V74" s="100"/>
      <c r="W74" s="19"/>
    </row>
    <row r="75" spans="1:23" s="17" customFormat="1" ht="36.75" customHeight="1">
      <c r="A75" s="20">
        <v>67</v>
      </c>
      <c r="B75" s="148"/>
      <c r="C75" s="132" t="s">
        <v>106</v>
      </c>
      <c r="D75" s="132"/>
      <c r="E75" s="22">
        <f>100000000+3000000000</f>
        <v>3100000000</v>
      </c>
      <c r="F75" s="22"/>
      <c r="G75" s="22"/>
      <c r="H75" s="22"/>
      <c r="I75" s="22"/>
      <c r="J75" s="22"/>
      <c r="K75" s="22"/>
      <c r="L75" s="13">
        <v>0</v>
      </c>
      <c r="M75" s="22"/>
      <c r="N75" s="22"/>
      <c r="O75" s="22"/>
      <c r="P75" s="25"/>
      <c r="Q75" s="14">
        <v>0</v>
      </c>
      <c r="R75" s="18">
        <v>0</v>
      </c>
      <c r="S75" s="26"/>
      <c r="T75" s="26"/>
      <c r="U75" s="15"/>
      <c r="V75" s="100"/>
      <c r="W75" s="19"/>
    </row>
    <row r="76" spans="1:23" s="17" customFormat="1" ht="39" customHeight="1">
      <c r="A76" s="20">
        <v>68</v>
      </c>
      <c r="B76" s="149"/>
      <c r="C76" s="132" t="s">
        <v>107</v>
      </c>
      <c r="D76" s="132"/>
      <c r="E76" s="22">
        <v>0</v>
      </c>
      <c r="F76" s="22"/>
      <c r="G76" s="22"/>
      <c r="H76" s="22"/>
      <c r="I76" s="22"/>
      <c r="J76" s="22"/>
      <c r="K76" s="22"/>
      <c r="L76" s="13">
        <v>0</v>
      </c>
      <c r="M76" s="22"/>
      <c r="N76" s="22"/>
      <c r="O76" s="22"/>
      <c r="P76" s="25"/>
      <c r="Q76" s="14">
        <v>0</v>
      </c>
      <c r="R76" s="18">
        <v>0</v>
      </c>
      <c r="S76" s="26"/>
      <c r="T76" s="26"/>
      <c r="U76" s="15"/>
      <c r="V76" s="100"/>
      <c r="W76" s="19"/>
    </row>
    <row r="77" spans="1:23" s="17" customFormat="1" ht="42.75" customHeight="1">
      <c r="A77" s="20">
        <v>69</v>
      </c>
      <c r="B77" s="147" t="s">
        <v>108</v>
      </c>
      <c r="C77" s="132" t="s">
        <v>109</v>
      </c>
      <c r="D77" s="132"/>
      <c r="E77" s="22">
        <v>1610000</v>
      </c>
      <c r="F77" s="22">
        <v>0</v>
      </c>
      <c r="G77" s="22"/>
      <c r="H77" s="22"/>
      <c r="I77" s="22">
        <v>63846725.479999997</v>
      </c>
      <c r="J77" s="22">
        <v>24657456.5</v>
      </c>
      <c r="K77" s="27">
        <v>64596839.039999999</v>
      </c>
      <c r="L77" s="13">
        <v>52689165.077999994</v>
      </c>
      <c r="M77" s="22"/>
      <c r="N77" s="22"/>
      <c r="O77" s="22"/>
      <c r="P77" s="25"/>
      <c r="Q77" s="14">
        <v>0</v>
      </c>
      <c r="R77" s="18">
        <v>0</v>
      </c>
      <c r="S77" s="26"/>
      <c r="T77" s="26"/>
      <c r="U77" s="15"/>
      <c r="V77" s="104"/>
      <c r="W77" s="19"/>
    </row>
    <row r="78" spans="1:23" s="17" customFormat="1" ht="33.75" customHeight="1">
      <c r="A78" s="20">
        <v>70</v>
      </c>
      <c r="B78" s="148"/>
      <c r="C78" s="135" t="s">
        <v>110</v>
      </c>
      <c r="D78" s="136"/>
      <c r="E78" s="22"/>
      <c r="F78" s="22">
        <v>0</v>
      </c>
      <c r="G78" s="22"/>
      <c r="H78" s="22"/>
      <c r="I78" s="22"/>
      <c r="J78" s="22"/>
      <c r="K78" s="22"/>
      <c r="L78" s="13"/>
      <c r="M78" s="22"/>
      <c r="N78" s="22"/>
      <c r="O78" s="22">
        <f>936532784.16+1000000000</f>
        <v>1936532784.1599998</v>
      </c>
      <c r="P78" s="25"/>
      <c r="Q78" s="14">
        <v>0</v>
      </c>
      <c r="R78" s="18">
        <v>0</v>
      </c>
      <c r="S78" s="26"/>
      <c r="T78" s="26"/>
      <c r="U78" s="15"/>
      <c r="V78" s="104"/>
      <c r="W78" s="19"/>
    </row>
    <row r="79" spans="1:23" s="17" customFormat="1" ht="29.25" customHeight="1">
      <c r="A79" s="20">
        <v>71</v>
      </c>
      <c r="B79" s="148"/>
      <c r="C79" s="132" t="s">
        <v>111</v>
      </c>
      <c r="D79" s="132"/>
      <c r="E79" s="22"/>
      <c r="F79" s="22">
        <v>0</v>
      </c>
      <c r="G79" s="22"/>
      <c r="H79" s="22"/>
      <c r="I79" s="22"/>
      <c r="J79" s="22"/>
      <c r="K79" s="22"/>
      <c r="L79" s="13">
        <v>0</v>
      </c>
      <c r="M79" s="22"/>
      <c r="N79" s="22"/>
      <c r="O79" s="22"/>
      <c r="P79" s="25"/>
      <c r="Q79" s="14">
        <v>0</v>
      </c>
      <c r="R79" s="18">
        <v>0</v>
      </c>
      <c r="S79" s="26"/>
      <c r="T79" s="26"/>
      <c r="U79" s="15"/>
      <c r="V79" s="100"/>
      <c r="W79" s="19"/>
    </row>
    <row r="80" spans="1:23" s="17" customFormat="1" ht="37.5" customHeight="1">
      <c r="A80" s="20">
        <v>72</v>
      </c>
      <c r="B80" s="148"/>
      <c r="C80" s="132" t="s">
        <v>112</v>
      </c>
      <c r="D80" s="132"/>
      <c r="E80" s="22"/>
      <c r="F80" s="22">
        <v>0</v>
      </c>
      <c r="G80" s="22"/>
      <c r="H80" s="22"/>
      <c r="I80" s="22"/>
      <c r="J80" s="22"/>
      <c r="K80" s="22"/>
      <c r="L80" s="22">
        <v>22080000000</v>
      </c>
      <c r="M80" s="22"/>
      <c r="N80" s="22"/>
      <c r="O80" s="22"/>
      <c r="P80" s="25"/>
      <c r="Q80" s="14">
        <v>0</v>
      </c>
      <c r="R80" s="18">
        <v>0</v>
      </c>
      <c r="S80" s="26"/>
      <c r="T80" s="26"/>
      <c r="U80" s="15"/>
      <c r="V80" s="108"/>
      <c r="W80" s="19"/>
    </row>
    <row r="81" spans="1:23" s="17" customFormat="1" ht="33" customHeight="1">
      <c r="A81" s="20">
        <v>73</v>
      </c>
      <c r="B81" s="149"/>
      <c r="C81" s="132" t="s">
        <v>113</v>
      </c>
      <c r="D81" s="132"/>
      <c r="E81" s="22"/>
      <c r="F81" s="22">
        <v>0</v>
      </c>
      <c r="G81" s="22"/>
      <c r="H81" s="22"/>
      <c r="I81" s="22"/>
      <c r="J81" s="22"/>
      <c r="K81" s="22"/>
      <c r="L81" s="22">
        <v>2185000000</v>
      </c>
      <c r="M81" s="22"/>
      <c r="N81" s="22"/>
      <c r="O81" s="22"/>
      <c r="P81" s="25"/>
      <c r="Q81" s="14">
        <v>0</v>
      </c>
      <c r="R81" s="18">
        <v>0</v>
      </c>
      <c r="S81" s="26"/>
      <c r="T81" s="26"/>
      <c r="U81" s="15"/>
      <c r="V81" s="108"/>
      <c r="W81" s="19"/>
    </row>
    <row r="82" spans="1:23" s="17" customFormat="1" ht="31.5" customHeight="1">
      <c r="A82" s="20">
        <v>74</v>
      </c>
      <c r="B82" s="21" t="s">
        <v>83</v>
      </c>
      <c r="C82" s="132" t="s">
        <v>114</v>
      </c>
      <c r="D82" s="132"/>
      <c r="E82" s="22"/>
      <c r="F82" s="22"/>
      <c r="G82" s="22"/>
      <c r="H82" s="22"/>
      <c r="I82" s="22"/>
      <c r="J82" s="22"/>
      <c r="K82" s="22"/>
      <c r="L82" s="13">
        <v>0</v>
      </c>
      <c r="M82" s="22"/>
      <c r="N82" s="22"/>
      <c r="O82" s="22"/>
      <c r="P82" s="25"/>
      <c r="Q82" s="14">
        <v>0</v>
      </c>
      <c r="R82" s="18">
        <v>0</v>
      </c>
      <c r="S82" s="26"/>
      <c r="T82" s="26"/>
      <c r="U82" s="15"/>
      <c r="V82" s="100"/>
      <c r="W82" s="19"/>
    </row>
    <row r="83" spans="1:23" s="17" customFormat="1" ht="48" customHeight="1">
      <c r="A83" s="20">
        <v>75</v>
      </c>
      <c r="B83" s="21" t="s">
        <v>115</v>
      </c>
      <c r="C83" s="132" t="s">
        <v>116</v>
      </c>
      <c r="D83" s="132"/>
      <c r="E83" s="22">
        <v>279153000000</v>
      </c>
      <c r="F83" s="22">
        <v>0</v>
      </c>
      <c r="G83" s="22"/>
      <c r="H83" s="22"/>
      <c r="I83" s="22"/>
      <c r="J83" s="22"/>
      <c r="K83" s="22"/>
      <c r="L83" s="22">
        <v>9365624118</v>
      </c>
      <c r="M83" s="22"/>
      <c r="N83" s="22"/>
      <c r="O83" s="22">
        <f>200000000-50000000</f>
        <v>150000000</v>
      </c>
      <c r="P83" s="25"/>
      <c r="Q83" s="14">
        <v>0</v>
      </c>
      <c r="R83" s="18">
        <v>0</v>
      </c>
      <c r="S83" s="26"/>
      <c r="T83" s="26"/>
      <c r="U83" s="15"/>
      <c r="V83" s="104"/>
      <c r="W83" s="19"/>
    </row>
    <row r="84" spans="1:23" s="17" customFormat="1" ht="47.25" customHeight="1">
      <c r="A84" s="20">
        <v>76</v>
      </c>
      <c r="B84" s="21" t="s">
        <v>117</v>
      </c>
      <c r="C84" s="132" t="s">
        <v>118</v>
      </c>
      <c r="D84" s="132"/>
      <c r="E84" s="22">
        <v>0</v>
      </c>
      <c r="F84" s="22">
        <v>0</v>
      </c>
      <c r="G84" s="22"/>
      <c r="H84" s="22"/>
      <c r="I84" s="42">
        <v>13178433.720000001</v>
      </c>
      <c r="J84" s="42">
        <v>6635362.1299999999</v>
      </c>
      <c r="K84" s="27">
        <v>14711208.48</v>
      </c>
      <c r="L84" s="13">
        <v>23750000</v>
      </c>
      <c r="M84" s="22"/>
      <c r="N84" s="22"/>
      <c r="O84" s="22"/>
      <c r="P84" s="25"/>
      <c r="Q84" s="14">
        <v>0</v>
      </c>
      <c r="R84" s="18">
        <v>0</v>
      </c>
      <c r="S84" s="26"/>
      <c r="T84" s="26"/>
      <c r="U84" s="15"/>
      <c r="V84" s="100"/>
      <c r="W84" s="19"/>
    </row>
    <row r="85" spans="1:23" s="47" customFormat="1" ht="48" customHeight="1">
      <c r="A85" s="20">
        <v>77</v>
      </c>
      <c r="B85" s="157" t="s">
        <v>88</v>
      </c>
      <c r="C85" s="158" t="s">
        <v>119</v>
      </c>
      <c r="D85" s="158"/>
      <c r="E85" s="22">
        <v>0</v>
      </c>
      <c r="F85" s="43">
        <v>1425000000</v>
      </c>
      <c r="G85" s="43">
        <v>100000000</v>
      </c>
      <c r="H85" s="43">
        <v>100000000</v>
      </c>
      <c r="I85" s="22"/>
      <c r="J85" s="22"/>
      <c r="K85" s="22"/>
      <c r="L85" s="13">
        <v>0</v>
      </c>
      <c r="M85" s="44"/>
      <c r="N85" s="44"/>
      <c r="O85" s="44">
        <v>1000000</v>
      </c>
      <c r="P85" s="45">
        <v>62429643.100000001</v>
      </c>
      <c r="Q85" s="14">
        <v>6056285.5199999986</v>
      </c>
      <c r="R85" s="18">
        <v>68485928.620000005</v>
      </c>
      <c r="S85" s="46"/>
      <c r="T85" s="46"/>
      <c r="U85" s="15"/>
      <c r="V85" s="104"/>
      <c r="W85" s="19"/>
    </row>
    <row r="86" spans="1:23" s="17" customFormat="1" ht="78" customHeight="1">
      <c r="A86" s="20">
        <v>78</v>
      </c>
      <c r="B86" s="132"/>
      <c r="C86" s="132" t="s">
        <v>120</v>
      </c>
      <c r="D86" s="132"/>
      <c r="E86" s="22">
        <v>0</v>
      </c>
      <c r="F86" s="22">
        <v>75000000</v>
      </c>
      <c r="G86" s="22">
        <v>0</v>
      </c>
      <c r="H86" s="22">
        <v>0</v>
      </c>
      <c r="I86" s="22"/>
      <c r="J86" s="22"/>
      <c r="K86" s="22"/>
      <c r="L86" s="13">
        <v>0</v>
      </c>
      <c r="M86" s="22">
        <v>1900000000</v>
      </c>
      <c r="N86" s="22">
        <v>1900000000</v>
      </c>
      <c r="O86" s="24"/>
      <c r="P86" s="25"/>
      <c r="Q86" s="14">
        <v>0</v>
      </c>
      <c r="R86" s="18">
        <v>0</v>
      </c>
      <c r="S86" s="26"/>
      <c r="T86" s="26"/>
      <c r="U86" s="15"/>
      <c r="V86" s="68"/>
      <c r="W86" s="19"/>
    </row>
    <row r="87" spans="1:23" s="17" customFormat="1" ht="49.5" customHeight="1">
      <c r="A87" s="20">
        <v>79</v>
      </c>
      <c r="B87" s="21" t="s">
        <v>88</v>
      </c>
      <c r="C87" s="135" t="s">
        <v>121</v>
      </c>
      <c r="D87" s="136"/>
      <c r="E87" s="22">
        <v>507800000</v>
      </c>
      <c r="F87" s="22">
        <v>0</v>
      </c>
      <c r="G87" s="22"/>
      <c r="H87" s="22"/>
      <c r="I87" s="22"/>
      <c r="J87" s="22"/>
      <c r="K87" s="48"/>
      <c r="L87" s="13">
        <v>0</v>
      </c>
      <c r="M87" s="22"/>
      <c r="N87" s="22"/>
      <c r="O87" s="22">
        <v>5000000</v>
      </c>
      <c r="P87" s="25">
        <v>4800000</v>
      </c>
      <c r="Q87" s="14">
        <v>56160000</v>
      </c>
      <c r="R87" s="18">
        <v>60960000</v>
      </c>
      <c r="S87" s="34"/>
      <c r="T87" s="34"/>
      <c r="U87" s="15"/>
      <c r="V87" s="111"/>
      <c r="W87" s="19"/>
    </row>
    <row r="88" spans="1:23" s="17" customFormat="1" ht="34.5" customHeight="1">
      <c r="A88" s="129" t="s">
        <v>122</v>
      </c>
      <c r="B88" s="130"/>
      <c r="C88" s="130"/>
      <c r="D88" s="131"/>
      <c r="E88" s="13">
        <f t="shared" ref="E88:O88" si="11">SUM(E89:E95)</f>
        <v>2886000</v>
      </c>
      <c r="F88" s="13">
        <f t="shared" si="11"/>
        <v>1167350000</v>
      </c>
      <c r="G88" s="13">
        <f t="shared" si="11"/>
        <v>1033208961</v>
      </c>
      <c r="H88" s="13">
        <f t="shared" ref="H88" si="12">SUM(H89:H95)</f>
        <v>1033208961</v>
      </c>
      <c r="I88" s="13">
        <f t="shared" si="11"/>
        <v>247777527.81999999</v>
      </c>
      <c r="J88" s="13">
        <f t="shared" si="11"/>
        <v>110497283.83</v>
      </c>
      <c r="K88" s="13">
        <f>SUM(K89:K95)</f>
        <v>253339038.96000001</v>
      </c>
      <c r="L88" s="13">
        <v>571320958.45000005</v>
      </c>
      <c r="M88" s="13">
        <f t="shared" si="11"/>
        <v>0</v>
      </c>
      <c r="N88" s="13">
        <f t="shared" ref="N88" si="13">SUM(N89:N95)</f>
        <v>0</v>
      </c>
      <c r="O88" s="13">
        <f t="shared" si="11"/>
        <v>1576976282</v>
      </c>
      <c r="P88" s="14">
        <v>100000000</v>
      </c>
      <c r="Q88" s="14">
        <v>73720000</v>
      </c>
      <c r="R88" s="14">
        <v>173720000</v>
      </c>
      <c r="S88" s="15"/>
      <c r="T88" s="15"/>
      <c r="U88" s="15"/>
      <c r="V88" s="100"/>
      <c r="W88" s="19"/>
    </row>
    <row r="89" spans="1:23" s="17" customFormat="1" ht="65.25" customHeight="1">
      <c r="A89" s="20">
        <v>80</v>
      </c>
      <c r="B89" s="133" t="s">
        <v>123</v>
      </c>
      <c r="C89" s="132" t="s">
        <v>124</v>
      </c>
      <c r="D89" s="132"/>
      <c r="E89" s="22">
        <v>2686000</v>
      </c>
      <c r="F89" s="22">
        <v>0</v>
      </c>
      <c r="G89" s="22"/>
      <c r="H89" s="22"/>
      <c r="I89" s="22">
        <v>247777527.81999999</v>
      </c>
      <c r="J89" s="22">
        <v>110497283.83</v>
      </c>
      <c r="K89" s="27">
        <v>253339038.96000001</v>
      </c>
      <c r="L89" s="13">
        <v>184684626.5</v>
      </c>
      <c r="M89" s="22"/>
      <c r="N89" s="22"/>
      <c r="O89" s="22">
        <v>56654260</v>
      </c>
      <c r="P89" s="25"/>
      <c r="Q89" s="14">
        <v>0</v>
      </c>
      <c r="R89" s="18">
        <v>0</v>
      </c>
      <c r="S89" s="34"/>
      <c r="T89" s="34"/>
      <c r="U89" s="15"/>
      <c r="V89" s="104"/>
      <c r="W89" s="19"/>
    </row>
    <row r="90" spans="1:23" s="17" customFormat="1" ht="39.75" customHeight="1">
      <c r="A90" s="20">
        <v>81</v>
      </c>
      <c r="B90" s="156"/>
      <c r="C90" s="135" t="s">
        <v>125</v>
      </c>
      <c r="D90" s="136"/>
      <c r="E90" s="22">
        <v>0</v>
      </c>
      <c r="F90" s="22">
        <v>0</v>
      </c>
      <c r="G90" s="22"/>
      <c r="H90" s="22"/>
      <c r="I90" s="22"/>
      <c r="J90" s="22"/>
      <c r="K90" s="22"/>
      <c r="L90" s="13">
        <v>33000000</v>
      </c>
      <c r="M90" s="22"/>
      <c r="N90" s="22"/>
      <c r="O90" s="22"/>
      <c r="P90" s="25"/>
      <c r="Q90" s="14">
        <v>0</v>
      </c>
      <c r="R90" s="18">
        <v>0</v>
      </c>
      <c r="S90" s="34"/>
      <c r="T90" s="34"/>
      <c r="U90" s="15"/>
      <c r="V90" s="100"/>
      <c r="W90" s="19"/>
    </row>
    <row r="91" spans="1:23" s="17" customFormat="1" ht="37.5" customHeight="1">
      <c r="A91" s="20">
        <v>82</v>
      </c>
      <c r="B91" s="134"/>
      <c r="C91" s="135" t="s">
        <v>126</v>
      </c>
      <c r="D91" s="136"/>
      <c r="E91" s="22"/>
      <c r="F91" s="22">
        <v>0</v>
      </c>
      <c r="G91" s="22"/>
      <c r="H91" s="22"/>
      <c r="I91" s="22"/>
      <c r="J91" s="22"/>
      <c r="K91" s="22"/>
      <c r="L91" s="13">
        <v>353636331.94999999</v>
      </c>
      <c r="M91" s="22"/>
      <c r="N91" s="22"/>
      <c r="O91" s="22"/>
      <c r="P91" s="25"/>
      <c r="Q91" s="14">
        <v>0</v>
      </c>
      <c r="R91" s="18">
        <v>0</v>
      </c>
      <c r="S91" s="26"/>
      <c r="T91" s="26"/>
      <c r="U91" s="15"/>
      <c r="V91" s="104"/>
      <c r="W91" s="19"/>
    </row>
    <row r="92" spans="1:23" s="36" customFormat="1" ht="40.5" customHeight="1">
      <c r="A92" s="20">
        <v>83</v>
      </c>
      <c r="B92" s="21" t="s">
        <v>88</v>
      </c>
      <c r="C92" s="132" t="s">
        <v>127</v>
      </c>
      <c r="D92" s="132"/>
      <c r="E92" s="49"/>
      <c r="F92" s="49">
        <v>0</v>
      </c>
      <c r="G92" s="49"/>
      <c r="H92" s="49"/>
      <c r="I92" s="22"/>
      <c r="J92" s="22"/>
      <c r="K92" s="22"/>
      <c r="L92" s="13">
        <v>0</v>
      </c>
      <c r="M92" s="22"/>
      <c r="N92" s="22"/>
      <c r="O92" s="22">
        <v>900000000</v>
      </c>
      <c r="P92" s="25">
        <v>100000000</v>
      </c>
      <c r="Q92" s="14">
        <v>0</v>
      </c>
      <c r="R92" s="18">
        <v>100000000</v>
      </c>
      <c r="S92" s="34"/>
      <c r="T92" s="34"/>
      <c r="U92" s="15"/>
      <c r="V92" s="104"/>
      <c r="W92" s="19"/>
    </row>
    <row r="93" spans="1:23" s="17" customFormat="1" ht="46.5" customHeight="1">
      <c r="A93" s="20">
        <v>84</v>
      </c>
      <c r="B93" s="21" t="s">
        <v>88</v>
      </c>
      <c r="C93" s="132" t="s">
        <v>128</v>
      </c>
      <c r="D93" s="132"/>
      <c r="E93" s="22">
        <v>200000</v>
      </c>
      <c r="F93" s="22">
        <v>0</v>
      </c>
      <c r="G93" s="22"/>
      <c r="H93" s="22"/>
      <c r="I93" s="22"/>
      <c r="J93" s="22"/>
      <c r="K93" s="22"/>
      <c r="L93" s="13">
        <v>0</v>
      </c>
      <c r="M93" s="22"/>
      <c r="N93" s="22"/>
      <c r="O93" s="22"/>
      <c r="P93" s="25"/>
      <c r="Q93" s="14">
        <v>40000000</v>
      </c>
      <c r="R93" s="18">
        <v>40000000</v>
      </c>
      <c r="S93" s="34"/>
      <c r="T93" s="34"/>
      <c r="U93" s="15"/>
      <c r="V93" s="111"/>
      <c r="W93" s="19"/>
    </row>
    <row r="94" spans="1:23" s="17" customFormat="1" ht="43.5" customHeight="1">
      <c r="A94" s="20">
        <v>85</v>
      </c>
      <c r="B94" s="21" t="s">
        <v>88</v>
      </c>
      <c r="C94" s="132" t="s">
        <v>129</v>
      </c>
      <c r="D94" s="132"/>
      <c r="E94" s="22"/>
      <c r="F94" s="22">
        <v>712950000</v>
      </c>
      <c r="G94" s="22">
        <f>644489202-12397251</f>
        <v>632091951</v>
      </c>
      <c r="H94" s="22">
        <f>644489202-12397251</f>
        <v>632091951</v>
      </c>
      <c r="I94" s="22"/>
      <c r="J94" s="22"/>
      <c r="K94" s="22"/>
      <c r="L94" s="13">
        <v>0</v>
      </c>
      <c r="M94" s="22"/>
      <c r="N94" s="22"/>
      <c r="O94" s="22">
        <f>12397251+600000000</f>
        <v>612397251</v>
      </c>
      <c r="P94" s="25"/>
      <c r="Q94" s="14">
        <v>11640000</v>
      </c>
      <c r="R94" s="18">
        <v>11640000</v>
      </c>
      <c r="S94" s="34"/>
      <c r="T94" s="34"/>
      <c r="U94" s="15"/>
      <c r="V94" s="104"/>
      <c r="W94" s="19"/>
    </row>
    <row r="95" spans="1:23" s="17" customFormat="1" ht="56.25" customHeight="1">
      <c r="A95" s="20">
        <v>86</v>
      </c>
      <c r="B95" s="21" t="s">
        <v>88</v>
      </c>
      <c r="C95" s="132" t="s">
        <v>130</v>
      </c>
      <c r="D95" s="132"/>
      <c r="E95" s="22"/>
      <c r="F95" s="22">
        <v>454400000</v>
      </c>
      <c r="G95" s="22">
        <f>409041781-7924771</f>
        <v>401117010</v>
      </c>
      <c r="H95" s="22">
        <f>409041781-7924771</f>
        <v>401117010</v>
      </c>
      <c r="I95" s="22"/>
      <c r="J95" s="22"/>
      <c r="K95" s="22"/>
      <c r="L95" s="13">
        <v>0</v>
      </c>
      <c r="M95" s="22"/>
      <c r="N95" s="22"/>
      <c r="O95" s="22">
        <v>7924771</v>
      </c>
      <c r="P95" s="25"/>
      <c r="Q95" s="14">
        <v>22080000</v>
      </c>
      <c r="R95" s="18">
        <v>22080000</v>
      </c>
      <c r="S95" s="34"/>
      <c r="T95" s="34"/>
      <c r="U95" s="15"/>
      <c r="V95" s="104"/>
      <c r="W95" s="19"/>
    </row>
    <row r="96" spans="1:23" s="17" customFormat="1" ht="35.25" customHeight="1">
      <c r="A96" s="139" t="s">
        <v>131</v>
      </c>
      <c r="B96" s="140"/>
      <c r="C96" s="140"/>
      <c r="D96" s="141"/>
      <c r="E96" s="13">
        <f t="shared" ref="E96:O96" si="14">SUM(E97:E101)</f>
        <v>15387500</v>
      </c>
      <c r="F96" s="13">
        <f t="shared" si="14"/>
        <v>0</v>
      </c>
      <c r="G96" s="13">
        <f t="shared" si="14"/>
        <v>0</v>
      </c>
      <c r="H96" s="13">
        <f t="shared" ref="H96" si="15">SUM(H97:H101)</f>
        <v>0</v>
      </c>
      <c r="I96" s="13">
        <f>SUM(I97:I101)</f>
        <v>286680274.13</v>
      </c>
      <c r="J96" s="13">
        <f t="shared" si="14"/>
        <v>95552741.680000007</v>
      </c>
      <c r="K96" s="13">
        <f t="shared" ref="K96" si="16">SUM(K97:K101)</f>
        <v>287093689.28000003</v>
      </c>
      <c r="L96" s="13">
        <v>392348138</v>
      </c>
      <c r="M96" s="13">
        <f t="shared" si="14"/>
        <v>0</v>
      </c>
      <c r="N96" s="13">
        <f t="shared" ref="N96" si="17">SUM(N97:N101)</f>
        <v>0</v>
      </c>
      <c r="O96" s="13">
        <f t="shared" si="14"/>
        <v>1369224209</v>
      </c>
      <c r="P96" s="13">
        <v>0</v>
      </c>
      <c r="Q96" s="13">
        <v>0</v>
      </c>
      <c r="R96" s="13">
        <v>0</v>
      </c>
      <c r="S96" s="15"/>
      <c r="T96" s="15"/>
      <c r="U96" s="15"/>
      <c r="V96" s="100"/>
      <c r="W96" s="19"/>
    </row>
    <row r="97" spans="1:23" s="17" customFormat="1" ht="56.25" customHeight="1">
      <c r="A97" s="20">
        <v>87</v>
      </c>
      <c r="B97" s="157" t="s">
        <v>132</v>
      </c>
      <c r="C97" s="132" t="s">
        <v>133</v>
      </c>
      <c r="D97" s="132"/>
      <c r="E97" s="22">
        <v>11287500</v>
      </c>
      <c r="F97" s="22">
        <v>0</v>
      </c>
      <c r="G97" s="22"/>
      <c r="H97" s="22"/>
      <c r="I97" s="22">
        <v>149953312.16</v>
      </c>
      <c r="J97" s="22">
        <v>70254161.359999999</v>
      </c>
      <c r="K97" s="27">
        <v>161822773.12</v>
      </c>
      <c r="L97" s="13">
        <v>72748885</v>
      </c>
      <c r="M97" s="22"/>
      <c r="N97" s="22"/>
      <c r="O97" s="22">
        <f>328924209+1039300000</f>
        <v>1368224209</v>
      </c>
      <c r="P97" s="25"/>
      <c r="Q97" s="14">
        <v>0</v>
      </c>
      <c r="R97" s="18">
        <v>0</v>
      </c>
      <c r="S97" s="26"/>
      <c r="T97" s="26"/>
      <c r="U97" s="15"/>
      <c r="V97" s="68"/>
      <c r="W97" s="19"/>
    </row>
    <row r="98" spans="1:23" s="17" customFormat="1" ht="37.5" customHeight="1">
      <c r="A98" s="20">
        <v>88</v>
      </c>
      <c r="B98" s="132"/>
      <c r="C98" s="132" t="s">
        <v>134</v>
      </c>
      <c r="D98" s="132"/>
      <c r="E98" s="22"/>
      <c r="F98" s="22">
        <v>0</v>
      </c>
      <c r="G98" s="22"/>
      <c r="H98" s="22"/>
      <c r="I98" s="24">
        <v>0</v>
      </c>
      <c r="J98" s="24"/>
      <c r="K98" s="24"/>
      <c r="L98" s="13">
        <v>260733253</v>
      </c>
      <c r="M98" s="22"/>
      <c r="N98" s="22"/>
      <c r="O98" s="22"/>
      <c r="P98" s="25"/>
      <c r="Q98" s="14">
        <v>0</v>
      </c>
      <c r="R98" s="18">
        <v>0</v>
      </c>
      <c r="S98" s="26"/>
      <c r="T98" s="26"/>
      <c r="U98" s="15"/>
      <c r="V98" s="104"/>
      <c r="W98" s="19"/>
    </row>
    <row r="99" spans="1:23" s="36" customFormat="1" ht="43.5" customHeight="1">
      <c r="A99" s="20">
        <v>89</v>
      </c>
      <c r="B99" s="21" t="s">
        <v>135</v>
      </c>
      <c r="C99" s="132" t="s">
        <v>136</v>
      </c>
      <c r="D99" s="132"/>
      <c r="E99" s="22">
        <v>100000</v>
      </c>
      <c r="F99" s="22">
        <v>0</v>
      </c>
      <c r="G99" s="22"/>
      <c r="H99" s="22"/>
      <c r="I99" s="22">
        <v>81286024.540000007</v>
      </c>
      <c r="J99" s="22"/>
      <c r="K99" s="27">
        <v>72155119.239999995</v>
      </c>
      <c r="L99" s="22">
        <v>39616000</v>
      </c>
      <c r="M99" s="24"/>
      <c r="N99" s="24"/>
      <c r="O99" s="22"/>
      <c r="P99" s="25"/>
      <c r="Q99" s="14">
        <v>0</v>
      </c>
      <c r="R99" s="18">
        <v>0</v>
      </c>
      <c r="S99" s="26"/>
      <c r="T99" s="26"/>
      <c r="U99" s="15"/>
      <c r="V99" s="111"/>
      <c r="W99" s="19"/>
    </row>
    <row r="100" spans="1:23" s="17" customFormat="1" ht="52.5" customHeight="1">
      <c r="A100" s="20">
        <v>90</v>
      </c>
      <c r="B100" s="157" t="s">
        <v>137</v>
      </c>
      <c r="C100" s="132" t="s">
        <v>138</v>
      </c>
      <c r="D100" s="132"/>
      <c r="E100" s="22">
        <v>4000000</v>
      </c>
      <c r="F100" s="22">
        <v>0</v>
      </c>
      <c r="G100" s="22"/>
      <c r="H100" s="22"/>
      <c r="I100" s="22">
        <v>55440937.43</v>
      </c>
      <c r="J100" s="22">
        <v>25298580.32</v>
      </c>
      <c r="K100" s="27">
        <v>53115796.920000002</v>
      </c>
      <c r="L100" s="13">
        <v>19250000</v>
      </c>
      <c r="M100" s="22"/>
      <c r="N100" s="22"/>
      <c r="O100" s="22">
        <v>1000000</v>
      </c>
      <c r="P100" s="25"/>
      <c r="Q100" s="14">
        <v>0</v>
      </c>
      <c r="R100" s="18">
        <v>0</v>
      </c>
      <c r="S100" s="26"/>
      <c r="T100" s="26"/>
      <c r="U100" s="15"/>
      <c r="V100" s="111"/>
      <c r="W100" s="19"/>
    </row>
    <row r="101" spans="1:23" s="17" customFormat="1" ht="45" customHeight="1">
      <c r="A101" s="20">
        <v>91</v>
      </c>
      <c r="B101" s="157"/>
      <c r="C101" s="135" t="s">
        <v>139</v>
      </c>
      <c r="D101" s="136"/>
      <c r="E101" s="22"/>
      <c r="F101" s="22">
        <v>0</v>
      </c>
      <c r="G101" s="22"/>
      <c r="H101" s="22"/>
      <c r="I101" s="22"/>
      <c r="J101" s="22"/>
      <c r="K101" s="22"/>
      <c r="L101" s="13">
        <v>0</v>
      </c>
      <c r="M101" s="22"/>
      <c r="N101" s="22"/>
      <c r="O101" s="22"/>
      <c r="P101" s="25"/>
      <c r="Q101" s="14">
        <v>0</v>
      </c>
      <c r="R101" s="18">
        <v>0</v>
      </c>
      <c r="S101" s="26"/>
      <c r="T101" s="26"/>
      <c r="U101" s="15"/>
      <c r="V101" s="111"/>
      <c r="W101" s="19"/>
    </row>
    <row r="102" spans="1:23" s="17" customFormat="1" ht="35.25" customHeight="1">
      <c r="A102" s="129" t="s">
        <v>140</v>
      </c>
      <c r="B102" s="130"/>
      <c r="C102" s="130"/>
      <c r="D102" s="131"/>
      <c r="E102" s="13">
        <f t="shared" ref="E102:F102" si="18">SUM(E103:E105)</f>
        <v>1090000</v>
      </c>
      <c r="F102" s="13">
        <f t="shared" si="18"/>
        <v>0</v>
      </c>
      <c r="G102" s="13">
        <f t="shared" ref="G102:O102" si="19">SUM(G103:G105)</f>
        <v>0</v>
      </c>
      <c r="H102" s="13">
        <f t="shared" si="19"/>
        <v>0</v>
      </c>
      <c r="I102" s="13">
        <f t="shared" si="19"/>
        <v>196370987.52000001</v>
      </c>
      <c r="J102" s="13">
        <f t="shared" si="19"/>
        <v>71752592.099999994</v>
      </c>
      <c r="K102" s="13">
        <f t="shared" si="19"/>
        <v>266163364.91999999</v>
      </c>
      <c r="L102" s="13">
        <v>1057918077.5465</v>
      </c>
      <c r="M102" s="13">
        <f t="shared" si="19"/>
        <v>0</v>
      </c>
      <c r="N102" s="13">
        <f t="shared" si="19"/>
        <v>0</v>
      </c>
      <c r="O102" s="13">
        <f t="shared" si="19"/>
        <v>2617286602.8199997</v>
      </c>
      <c r="P102" s="14">
        <v>54198245</v>
      </c>
      <c r="Q102" s="14">
        <v>203813404</v>
      </c>
      <c r="R102" s="14">
        <v>258011649</v>
      </c>
      <c r="S102" s="15"/>
      <c r="T102" s="15"/>
      <c r="U102" s="15"/>
      <c r="V102" s="100"/>
      <c r="W102" s="19"/>
    </row>
    <row r="103" spans="1:23" s="17" customFormat="1" ht="47.25" customHeight="1">
      <c r="A103" s="20">
        <v>92</v>
      </c>
      <c r="B103" s="133" t="s">
        <v>141</v>
      </c>
      <c r="C103" s="132" t="s">
        <v>142</v>
      </c>
      <c r="D103" s="132"/>
      <c r="E103" s="22">
        <v>90000</v>
      </c>
      <c r="F103" s="22">
        <v>0</v>
      </c>
      <c r="G103" s="22"/>
      <c r="H103" s="22"/>
      <c r="I103" s="22">
        <v>196370987.52000001</v>
      </c>
      <c r="J103" s="22">
        <v>71752592.099999994</v>
      </c>
      <c r="K103" s="27">
        <v>266163364.91999999</v>
      </c>
      <c r="L103" s="13">
        <v>141174562.99650002</v>
      </c>
      <c r="M103" s="24"/>
      <c r="N103" s="24"/>
      <c r="O103" s="22">
        <v>1764632013.8199999</v>
      </c>
      <c r="P103" s="25"/>
      <c r="Q103" s="14">
        <v>0</v>
      </c>
      <c r="R103" s="18">
        <v>0</v>
      </c>
      <c r="S103" s="26"/>
      <c r="T103" s="26"/>
      <c r="U103" s="15"/>
      <c r="V103" s="104"/>
      <c r="W103" s="19"/>
    </row>
    <row r="104" spans="1:23" s="17" customFormat="1" ht="42" customHeight="1">
      <c r="A104" s="20">
        <v>93</v>
      </c>
      <c r="B104" s="156"/>
      <c r="C104" s="135" t="s">
        <v>143</v>
      </c>
      <c r="D104" s="136"/>
      <c r="E104" s="22"/>
      <c r="F104" s="22"/>
      <c r="G104" s="22"/>
      <c r="H104" s="22"/>
      <c r="I104" s="22"/>
      <c r="J104" s="22"/>
      <c r="K104" s="22"/>
      <c r="L104" s="22">
        <v>916743514.54999995</v>
      </c>
      <c r="M104" s="24"/>
      <c r="N104" s="24"/>
      <c r="O104" s="22"/>
      <c r="P104" s="25"/>
      <c r="Q104" s="14">
        <v>0</v>
      </c>
      <c r="R104" s="18">
        <v>0</v>
      </c>
      <c r="S104" s="26"/>
      <c r="T104" s="26"/>
      <c r="U104" s="15"/>
      <c r="V104" s="100"/>
      <c r="W104" s="19"/>
    </row>
    <row r="105" spans="1:23" s="17" customFormat="1" ht="63.75" customHeight="1">
      <c r="A105" s="20">
        <v>94</v>
      </c>
      <c r="B105" s="134"/>
      <c r="C105" s="135" t="s">
        <v>144</v>
      </c>
      <c r="D105" s="136"/>
      <c r="E105" s="22">
        <v>1000000</v>
      </c>
      <c r="F105" s="22">
        <v>0</v>
      </c>
      <c r="G105" s="22">
        <v>0</v>
      </c>
      <c r="H105" s="22">
        <v>0</v>
      </c>
      <c r="I105" s="22"/>
      <c r="J105" s="22"/>
      <c r="K105" s="22"/>
      <c r="L105" s="13">
        <v>0</v>
      </c>
      <c r="M105" s="24"/>
      <c r="N105" s="24"/>
      <c r="O105" s="22">
        <f>1122654589-270000000</f>
        <v>852654589</v>
      </c>
      <c r="P105" s="50">
        <v>54198245</v>
      </c>
      <c r="Q105" s="14">
        <v>203813404</v>
      </c>
      <c r="R105" s="18">
        <v>258011649</v>
      </c>
      <c r="S105" s="34"/>
      <c r="T105" s="34"/>
      <c r="U105" s="15"/>
      <c r="V105" s="104"/>
      <c r="W105" s="19"/>
    </row>
    <row r="106" spans="1:23" s="17" customFormat="1" ht="32.25" customHeight="1">
      <c r="A106" s="139" t="s">
        <v>145</v>
      </c>
      <c r="B106" s="140"/>
      <c r="C106" s="140"/>
      <c r="D106" s="141"/>
      <c r="E106" s="13">
        <f t="shared" ref="E106:O106" si="20">SUM(E107,E120)+E116</f>
        <v>2294015000</v>
      </c>
      <c r="F106" s="13">
        <f t="shared" si="20"/>
        <v>0</v>
      </c>
      <c r="G106" s="13">
        <f t="shared" si="20"/>
        <v>0</v>
      </c>
      <c r="H106" s="13">
        <f t="shared" si="20"/>
        <v>0</v>
      </c>
      <c r="I106" s="13">
        <f t="shared" si="20"/>
        <v>1714239013.5500002</v>
      </c>
      <c r="J106" s="13">
        <f t="shared" si="20"/>
        <v>997207072.87</v>
      </c>
      <c r="K106" s="13">
        <f t="shared" si="20"/>
        <v>1920544379.8399997</v>
      </c>
      <c r="L106" s="13">
        <v>6265439378.3000002</v>
      </c>
      <c r="M106" s="13">
        <f t="shared" si="20"/>
        <v>0</v>
      </c>
      <c r="N106" s="13">
        <f t="shared" si="20"/>
        <v>0</v>
      </c>
      <c r="O106" s="13">
        <f t="shared" si="20"/>
        <v>6811636900.1000004</v>
      </c>
      <c r="P106" s="13">
        <v>128146596.31</v>
      </c>
      <c r="Q106" s="13">
        <v>845907808.55199993</v>
      </c>
      <c r="R106" s="13">
        <v>974054404.86199987</v>
      </c>
      <c r="S106" s="15"/>
      <c r="T106" s="15"/>
      <c r="U106" s="15"/>
      <c r="V106" s="100"/>
      <c r="W106" s="19"/>
    </row>
    <row r="107" spans="1:23" s="17" customFormat="1" ht="30" customHeight="1">
      <c r="A107" s="159" t="s">
        <v>146</v>
      </c>
      <c r="B107" s="159"/>
      <c r="C107" s="159"/>
      <c r="D107" s="159"/>
      <c r="E107" s="13">
        <f t="shared" ref="E107:O107" si="21">SUM(E108:E115)</f>
        <v>462660000</v>
      </c>
      <c r="F107" s="13">
        <f t="shared" si="21"/>
        <v>0</v>
      </c>
      <c r="G107" s="13">
        <f t="shared" si="21"/>
        <v>0</v>
      </c>
      <c r="H107" s="13">
        <f t="shared" si="21"/>
        <v>0</v>
      </c>
      <c r="I107" s="13">
        <f t="shared" si="21"/>
        <v>572945098.90999997</v>
      </c>
      <c r="J107" s="13">
        <f t="shared" si="21"/>
        <v>0</v>
      </c>
      <c r="K107" s="13">
        <f t="shared" si="21"/>
        <v>655881080.27999997</v>
      </c>
      <c r="L107" s="13">
        <v>407000000</v>
      </c>
      <c r="M107" s="13">
        <f t="shared" si="21"/>
        <v>0</v>
      </c>
      <c r="N107" s="13">
        <f t="shared" si="21"/>
        <v>0</v>
      </c>
      <c r="O107" s="13">
        <f t="shared" si="21"/>
        <v>4568949905</v>
      </c>
      <c r="P107" s="13">
        <v>103274111</v>
      </c>
      <c r="Q107" s="13">
        <v>597495792.79999995</v>
      </c>
      <c r="R107" s="13">
        <v>700769903.79999995</v>
      </c>
      <c r="S107" s="15"/>
      <c r="T107" s="15"/>
      <c r="U107" s="15"/>
      <c r="V107" s="100"/>
      <c r="W107" s="19"/>
    </row>
    <row r="108" spans="1:23" s="17" customFormat="1" ht="34.5" customHeight="1">
      <c r="A108" s="51">
        <v>95</v>
      </c>
      <c r="B108" s="133" t="s">
        <v>147</v>
      </c>
      <c r="C108" s="132" t="s">
        <v>148</v>
      </c>
      <c r="D108" s="132"/>
      <c r="E108" s="22">
        <f>178220000-50000000</f>
        <v>128220000</v>
      </c>
      <c r="F108" s="22">
        <v>0</v>
      </c>
      <c r="G108" s="22"/>
      <c r="H108" s="22"/>
      <c r="I108" s="22">
        <v>572945098.90999997</v>
      </c>
      <c r="J108" s="22"/>
      <c r="K108" s="27">
        <v>655881080.27999997</v>
      </c>
      <c r="L108" s="13">
        <v>407000000</v>
      </c>
      <c r="M108" s="24"/>
      <c r="N108" s="24"/>
      <c r="O108" s="22">
        <v>1871832031</v>
      </c>
      <c r="P108" s="52"/>
      <c r="Q108" s="14">
        <v>0</v>
      </c>
      <c r="R108" s="18">
        <v>0</v>
      </c>
      <c r="S108" s="26"/>
      <c r="T108" s="26"/>
      <c r="U108" s="15"/>
      <c r="V108" s="109"/>
      <c r="W108" s="19"/>
    </row>
    <row r="109" spans="1:23" s="17" customFormat="1" ht="34.5" customHeight="1">
      <c r="A109" s="51"/>
      <c r="B109" s="156"/>
      <c r="C109" s="135" t="s">
        <v>149</v>
      </c>
      <c r="D109" s="136"/>
      <c r="E109" s="22"/>
      <c r="F109" s="22"/>
      <c r="G109" s="22"/>
      <c r="H109" s="22"/>
      <c r="I109" s="22"/>
      <c r="J109" s="22"/>
      <c r="K109" s="27"/>
      <c r="L109" s="13"/>
      <c r="M109" s="24"/>
      <c r="N109" s="24"/>
      <c r="O109" s="22">
        <v>1000000000</v>
      </c>
      <c r="P109" s="52"/>
      <c r="Q109" s="14"/>
      <c r="R109" s="18"/>
      <c r="S109" s="26"/>
      <c r="T109" s="26"/>
      <c r="U109" s="15"/>
      <c r="V109" s="109"/>
      <c r="W109" s="19"/>
    </row>
    <row r="110" spans="1:23" s="17" customFormat="1" ht="34.5" customHeight="1">
      <c r="A110" s="51">
        <v>96</v>
      </c>
      <c r="B110" s="134"/>
      <c r="C110" s="135" t="s">
        <v>150</v>
      </c>
      <c r="D110" s="136"/>
      <c r="E110" s="22"/>
      <c r="F110" s="22">
        <v>0</v>
      </c>
      <c r="G110" s="22"/>
      <c r="H110" s="22"/>
      <c r="I110" s="24"/>
      <c r="J110" s="24"/>
      <c r="K110" s="24"/>
      <c r="L110" s="13">
        <v>0</v>
      </c>
      <c r="M110" s="24"/>
      <c r="N110" s="24"/>
      <c r="O110" s="22">
        <v>642870006</v>
      </c>
      <c r="P110" s="25"/>
      <c r="Q110" s="14">
        <v>0</v>
      </c>
      <c r="R110" s="18">
        <v>0</v>
      </c>
      <c r="S110" s="26"/>
      <c r="T110" s="26"/>
      <c r="U110" s="15"/>
      <c r="V110" s="109"/>
      <c r="W110" s="19"/>
    </row>
    <row r="111" spans="1:23" s="17" customFormat="1" ht="48" customHeight="1">
      <c r="A111" s="51">
        <v>97</v>
      </c>
      <c r="B111" s="21" t="s">
        <v>88</v>
      </c>
      <c r="C111" s="132" t="s">
        <v>151</v>
      </c>
      <c r="D111" s="132"/>
      <c r="E111" s="22">
        <f>144440000-20000000</f>
        <v>124440000</v>
      </c>
      <c r="F111" s="22">
        <v>0</v>
      </c>
      <c r="G111" s="22"/>
      <c r="H111" s="22"/>
      <c r="I111" s="22"/>
      <c r="J111" s="22"/>
      <c r="K111" s="22"/>
      <c r="L111" s="13">
        <v>0</v>
      </c>
      <c r="M111" s="24"/>
      <c r="N111" s="24"/>
      <c r="O111" s="22">
        <f>84756641+900000000</f>
        <v>984756641</v>
      </c>
      <c r="P111" s="25">
        <v>103274111</v>
      </c>
      <c r="Q111" s="53">
        <v>398122006.39999998</v>
      </c>
      <c r="R111" s="18">
        <v>501396117.39999998</v>
      </c>
      <c r="S111" s="34"/>
      <c r="T111" s="34"/>
      <c r="U111" s="15"/>
      <c r="V111" s="109"/>
      <c r="W111" s="19"/>
    </row>
    <row r="112" spans="1:23" s="17" customFormat="1" ht="33" customHeight="1">
      <c r="A112" s="51">
        <v>98</v>
      </c>
      <c r="B112" s="21" t="s">
        <v>88</v>
      </c>
      <c r="C112" s="132" t="s">
        <v>152</v>
      </c>
      <c r="D112" s="132"/>
      <c r="E112" s="22"/>
      <c r="F112" s="22">
        <v>0</v>
      </c>
      <c r="G112" s="22"/>
      <c r="H112" s="22"/>
      <c r="I112" s="22"/>
      <c r="J112" s="22"/>
      <c r="K112" s="22"/>
      <c r="L112" s="13">
        <v>0</v>
      </c>
      <c r="M112" s="22"/>
      <c r="N112" s="22"/>
      <c r="O112" s="24"/>
      <c r="P112" s="25">
        <v>0</v>
      </c>
      <c r="Q112" s="14">
        <v>48000000</v>
      </c>
      <c r="R112" s="18">
        <v>48000000</v>
      </c>
      <c r="S112" s="34"/>
      <c r="T112" s="34"/>
      <c r="U112" s="15"/>
      <c r="V112" s="109"/>
      <c r="W112" s="19"/>
    </row>
    <row r="113" spans="1:23" s="17" customFormat="1" ht="34.5" customHeight="1">
      <c r="A113" s="51">
        <v>99</v>
      </c>
      <c r="B113" s="21" t="s">
        <v>88</v>
      </c>
      <c r="C113" s="132" t="s">
        <v>153</v>
      </c>
      <c r="D113" s="132"/>
      <c r="E113" s="22"/>
      <c r="F113" s="22">
        <v>0</v>
      </c>
      <c r="G113" s="22"/>
      <c r="H113" s="22"/>
      <c r="I113" s="22"/>
      <c r="J113" s="22"/>
      <c r="K113" s="22"/>
      <c r="L113" s="13">
        <v>0</v>
      </c>
      <c r="M113" s="22"/>
      <c r="N113" s="22"/>
      <c r="O113" s="24"/>
      <c r="P113" s="25">
        <v>0</v>
      </c>
      <c r="Q113" s="14">
        <v>58000000</v>
      </c>
      <c r="R113" s="18">
        <v>58000000</v>
      </c>
      <c r="S113" s="34"/>
      <c r="T113" s="34"/>
      <c r="U113" s="15"/>
      <c r="V113" s="112"/>
      <c r="W113" s="19"/>
    </row>
    <row r="114" spans="1:23" s="17" customFormat="1" ht="34.5" customHeight="1">
      <c r="A114" s="51">
        <v>100</v>
      </c>
      <c r="B114" s="21" t="s">
        <v>88</v>
      </c>
      <c r="C114" s="135" t="s">
        <v>154</v>
      </c>
      <c r="D114" s="136"/>
      <c r="E114" s="22">
        <f>230000000-20000000</f>
        <v>210000000</v>
      </c>
      <c r="F114" s="22">
        <v>0</v>
      </c>
      <c r="G114" s="22"/>
      <c r="H114" s="22"/>
      <c r="I114" s="22"/>
      <c r="J114" s="22"/>
      <c r="K114" s="22"/>
      <c r="L114" s="13">
        <v>0</v>
      </c>
      <c r="M114" s="22"/>
      <c r="N114" s="22"/>
      <c r="O114" s="24">
        <v>69491227</v>
      </c>
      <c r="P114" s="25">
        <v>0</v>
      </c>
      <c r="Q114" s="14">
        <v>33509138.399999999</v>
      </c>
      <c r="R114" s="18">
        <v>33509138.399999999</v>
      </c>
      <c r="S114" s="34"/>
      <c r="T114" s="34"/>
      <c r="U114" s="15"/>
      <c r="V114" s="112"/>
      <c r="W114" s="19"/>
    </row>
    <row r="115" spans="1:23" s="17" customFormat="1" ht="58.5" customHeight="1">
      <c r="A115" s="51">
        <v>101</v>
      </c>
      <c r="B115" s="54" t="s">
        <v>88</v>
      </c>
      <c r="C115" s="135" t="s">
        <v>155</v>
      </c>
      <c r="D115" s="136"/>
      <c r="E115" s="22"/>
      <c r="F115" s="22">
        <v>0</v>
      </c>
      <c r="G115" s="22"/>
      <c r="H115" s="22"/>
      <c r="I115" s="22"/>
      <c r="J115" s="22"/>
      <c r="K115" s="22"/>
      <c r="L115" s="13">
        <v>0</v>
      </c>
      <c r="M115" s="22"/>
      <c r="N115" s="22"/>
      <c r="O115" s="22"/>
      <c r="P115" s="25">
        <v>0</v>
      </c>
      <c r="Q115" s="14">
        <v>59864648</v>
      </c>
      <c r="R115" s="18">
        <v>59864648</v>
      </c>
      <c r="S115" s="34"/>
      <c r="T115" s="34"/>
      <c r="U115" s="15"/>
      <c r="V115" s="112"/>
      <c r="W115" s="19"/>
    </row>
    <row r="116" spans="1:23" s="17" customFormat="1" ht="30" customHeight="1">
      <c r="A116" s="129" t="s">
        <v>156</v>
      </c>
      <c r="B116" s="130"/>
      <c r="C116" s="130"/>
      <c r="D116" s="131"/>
      <c r="E116" s="13">
        <f t="shared" ref="E116:O116" si="22">SUM(E117:E119)</f>
        <v>1821305000</v>
      </c>
      <c r="F116" s="13">
        <f t="shared" si="22"/>
        <v>0</v>
      </c>
      <c r="G116" s="13">
        <f t="shared" si="22"/>
        <v>0</v>
      </c>
      <c r="H116" s="13">
        <f t="shared" si="22"/>
        <v>0</v>
      </c>
      <c r="I116" s="13">
        <f t="shared" si="22"/>
        <v>981669806.28000009</v>
      </c>
      <c r="J116" s="13">
        <f t="shared" si="22"/>
        <v>947121239.87</v>
      </c>
      <c r="K116" s="13">
        <f t="shared" si="22"/>
        <v>1136223785.3999999</v>
      </c>
      <c r="L116" s="13">
        <v>1628233594.3000002</v>
      </c>
      <c r="M116" s="13">
        <f t="shared" si="22"/>
        <v>0</v>
      </c>
      <c r="N116" s="13">
        <f t="shared" si="22"/>
        <v>0</v>
      </c>
      <c r="O116" s="13">
        <f t="shared" si="22"/>
        <v>674636995.10000002</v>
      </c>
      <c r="P116" s="14">
        <v>24872485.309999999</v>
      </c>
      <c r="Q116" s="14">
        <v>117056754.95199999</v>
      </c>
      <c r="R116" s="14">
        <v>141929240.26199999</v>
      </c>
      <c r="S116" s="55"/>
      <c r="T116" s="55"/>
      <c r="U116" s="15"/>
      <c r="V116" s="100"/>
      <c r="W116" s="19"/>
    </row>
    <row r="117" spans="1:23" s="17" customFormat="1" ht="44.25" customHeight="1">
      <c r="A117" s="20">
        <v>102</v>
      </c>
      <c r="B117" s="32" t="s">
        <v>157</v>
      </c>
      <c r="C117" s="132" t="s">
        <v>158</v>
      </c>
      <c r="D117" s="132"/>
      <c r="E117" s="22">
        <v>1795805000</v>
      </c>
      <c r="F117" s="22"/>
      <c r="G117" s="22"/>
      <c r="H117" s="22"/>
      <c r="I117" s="22">
        <v>953269273.20000005</v>
      </c>
      <c r="J117" s="22">
        <v>934840858.64999998</v>
      </c>
      <c r="K117" s="27">
        <v>1104367369.8</v>
      </c>
      <c r="L117" s="22">
        <v>1578133416.9000001</v>
      </c>
      <c r="M117" s="24"/>
      <c r="N117" s="24"/>
      <c r="O117" s="22">
        <v>639486995.10000002</v>
      </c>
      <c r="P117" s="25"/>
      <c r="Q117" s="14">
        <v>0</v>
      </c>
      <c r="R117" s="18">
        <v>0</v>
      </c>
      <c r="S117" s="26"/>
      <c r="T117" s="26"/>
      <c r="U117" s="15"/>
      <c r="V117" s="112"/>
      <c r="W117" s="19"/>
    </row>
    <row r="118" spans="1:23" s="17" customFormat="1" ht="42.75" customHeight="1">
      <c r="A118" s="20">
        <v>103</v>
      </c>
      <c r="B118" s="21" t="s">
        <v>159</v>
      </c>
      <c r="C118" s="132" t="s">
        <v>160</v>
      </c>
      <c r="D118" s="132"/>
      <c r="E118" s="22">
        <v>500000</v>
      </c>
      <c r="F118" s="22">
        <v>0</v>
      </c>
      <c r="G118" s="22"/>
      <c r="H118" s="22"/>
      <c r="I118" s="22">
        <v>28400533.079999998</v>
      </c>
      <c r="J118" s="22">
        <v>12280381.220000001</v>
      </c>
      <c r="K118" s="27">
        <v>31856415.600000001</v>
      </c>
      <c r="L118" s="13">
        <v>50100177.399999999</v>
      </c>
      <c r="M118" s="24"/>
      <c r="N118" s="24"/>
      <c r="O118" s="22">
        <v>20150000</v>
      </c>
      <c r="P118" s="25"/>
      <c r="Q118" s="14">
        <v>0</v>
      </c>
      <c r="R118" s="18">
        <v>0</v>
      </c>
      <c r="S118" s="26"/>
      <c r="T118" s="26"/>
      <c r="U118" s="15"/>
      <c r="V118" s="112"/>
      <c r="W118" s="19"/>
    </row>
    <row r="119" spans="1:23" s="17" customFormat="1" ht="40.5" customHeight="1">
      <c r="A119" s="20">
        <v>104</v>
      </c>
      <c r="B119" s="56" t="s">
        <v>88</v>
      </c>
      <c r="C119" s="132" t="s">
        <v>161</v>
      </c>
      <c r="D119" s="132"/>
      <c r="E119" s="22">
        <v>25000000</v>
      </c>
      <c r="F119" s="22">
        <v>0</v>
      </c>
      <c r="G119" s="22"/>
      <c r="H119" s="22"/>
      <c r="I119" s="24">
        <v>0</v>
      </c>
      <c r="J119" s="24"/>
      <c r="K119" s="24"/>
      <c r="L119" s="13">
        <v>0</v>
      </c>
      <c r="M119" s="24"/>
      <c r="N119" s="24"/>
      <c r="O119" s="24">
        <v>15000000</v>
      </c>
      <c r="P119" s="25">
        <v>24872485.309999999</v>
      </c>
      <c r="Q119" s="14">
        <v>117056754.95199999</v>
      </c>
      <c r="R119" s="18">
        <v>141929240.26199999</v>
      </c>
      <c r="S119" s="34"/>
      <c r="T119" s="34"/>
      <c r="U119" s="15"/>
      <c r="V119" s="112"/>
      <c r="W119" s="19"/>
    </row>
    <row r="120" spans="1:23" s="17" customFormat="1" ht="30" customHeight="1">
      <c r="A120" s="159" t="s">
        <v>162</v>
      </c>
      <c r="B120" s="159"/>
      <c r="C120" s="159"/>
      <c r="D120" s="159"/>
      <c r="E120" s="13">
        <f t="shared" ref="E120:O120" si="23">SUM(E121:E125)</f>
        <v>10050000</v>
      </c>
      <c r="F120" s="13">
        <f t="shared" si="23"/>
        <v>0</v>
      </c>
      <c r="G120" s="13">
        <f t="shared" si="23"/>
        <v>0</v>
      </c>
      <c r="H120" s="13">
        <f t="shared" si="23"/>
        <v>0</v>
      </c>
      <c r="I120" s="13">
        <f t="shared" si="23"/>
        <v>159624108.36000001</v>
      </c>
      <c r="J120" s="13">
        <f t="shared" si="23"/>
        <v>50085833</v>
      </c>
      <c r="K120" s="13">
        <f t="shared" si="23"/>
        <v>128439514.16</v>
      </c>
      <c r="L120" s="13">
        <v>4230205784</v>
      </c>
      <c r="M120" s="13">
        <f t="shared" si="23"/>
        <v>0</v>
      </c>
      <c r="N120" s="13">
        <f t="shared" si="23"/>
        <v>0</v>
      </c>
      <c r="O120" s="13">
        <f t="shared" si="23"/>
        <v>1568050000</v>
      </c>
      <c r="P120" s="14">
        <v>0</v>
      </c>
      <c r="Q120" s="14">
        <v>131355260.8</v>
      </c>
      <c r="R120" s="18">
        <v>131355260.8</v>
      </c>
      <c r="S120" s="15"/>
      <c r="T120" s="15"/>
      <c r="U120" s="15"/>
      <c r="V120" s="100"/>
      <c r="W120" s="19"/>
    </row>
    <row r="121" spans="1:23" s="17" customFormat="1" ht="34.5" customHeight="1">
      <c r="A121" s="51">
        <v>105</v>
      </c>
      <c r="B121" s="32" t="s">
        <v>163</v>
      </c>
      <c r="C121" s="132" t="s">
        <v>164</v>
      </c>
      <c r="D121" s="132"/>
      <c r="E121" s="22">
        <v>50000</v>
      </c>
      <c r="F121" s="22">
        <v>0</v>
      </c>
      <c r="G121" s="22"/>
      <c r="H121" s="22"/>
      <c r="I121" s="22">
        <v>159624108.36000001</v>
      </c>
      <c r="J121" s="22">
        <v>50085833</v>
      </c>
      <c r="K121" s="27">
        <v>128439514.16</v>
      </c>
      <c r="L121" s="13">
        <v>38140366</v>
      </c>
      <c r="M121" s="24"/>
      <c r="N121" s="24"/>
      <c r="O121" s="22">
        <v>63550000</v>
      </c>
      <c r="P121" s="25"/>
      <c r="Q121" s="14">
        <v>0</v>
      </c>
      <c r="R121" s="18">
        <v>0</v>
      </c>
      <c r="S121" s="26"/>
      <c r="T121" s="26"/>
      <c r="U121" s="15"/>
      <c r="V121" s="112"/>
      <c r="W121" s="19"/>
    </row>
    <row r="122" spans="1:23" s="17" customFormat="1" ht="63" customHeight="1">
      <c r="A122" s="51">
        <v>106</v>
      </c>
      <c r="B122" s="21" t="s">
        <v>88</v>
      </c>
      <c r="C122" s="132" t="s">
        <v>165</v>
      </c>
      <c r="D122" s="132"/>
      <c r="E122" s="22">
        <v>0</v>
      </c>
      <c r="F122" s="22">
        <v>0</v>
      </c>
      <c r="G122" s="22"/>
      <c r="H122" s="22"/>
      <c r="I122" s="22"/>
      <c r="J122" s="22"/>
      <c r="K122" s="22"/>
      <c r="L122" s="13">
        <v>0</v>
      </c>
      <c r="M122" s="22"/>
      <c r="N122" s="22"/>
      <c r="O122" s="24"/>
      <c r="P122" s="25">
        <v>0</v>
      </c>
      <c r="Q122" s="14">
        <v>87331132.799999997</v>
      </c>
      <c r="R122" s="18">
        <v>87331132.799999997</v>
      </c>
      <c r="S122" s="34"/>
      <c r="T122" s="34"/>
      <c r="U122" s="15"/>
      <c r="V122" s="112"/>
      <c r="W122" s="19"/>
    </row>
    <row r="123" spans="1:23" s="17" customFormat="1" ht="36.75" customHeight="1">
      <c r="A123" s="51">
        <v>107</v>
      </c>
      <c r="B123" s="21" t="s">
        <v>88</v>
      </c>
      <c r="C123" s="132" t="s">
        <v>166</v>
      </c>
      <c r="D123" s="132"/>
      <c r="E123" s="22">
        <v>10000000</v>
      </c>
      <c r="F123" s="22">
        <v>0</v>
      </c>
      <c r="G123" s="22"/>
      <c r="H123" s="22"/>
      <c r="I123" s="24"/>
      <c r="J123" s="24"/>
      <c r="K123" s="24"/>
      <c r="L123" s="13">
        <v>0</v>
      </c>
      <c r="M123" s="22"/>
      <c r="N123" s="22"/>
      <c r="O123" s="24">
        <v>4500000</v>
      </c>
      <c r="P123" s="25">
        <v>0</v>
      </c>
      <c r="Q123" s="14">
        <v>44024128</v>
      </c>
      <c r="R123" s="18">
        <v>44024128</v>
      </c>
      <c r="S123" s="34"/>
      <c r="T123" s="34"/>
      <c r="U123" s="15"/>
      <c r="V123" s="112"/>
      <c r="W123" s="19"/>
    </row>
    <row r="124" spans="1:23" s="17" customFormat="1" ht="44.25" customHeight="1">
      <c r="A124" s="51">
        <v>108</v>
      </c>
      <c r="B124" s="20"/>
      <c r="C124" s="132" t="s">
        <v>167</v>
      </c>
      <c r="D124" s="132"/>
      <c r="E124" s="22"/>
      <c r="F124" s="22">
        <v>0</v>
      </c>
      <c r="G124" s="22"/>
      <c r="H124" s="22"/>
      <c r="I124" s="24"/>
      <c r="J124" s="24"/>
      <c r="K124" s="24"/>
      <c r="L124" s="13">
        <v>385000000</v>
      </c>
      <c r="M124" s="22"/>
      <c r="N124" s="22"/>
      <c r="O124" s="24">
        <f>2000000000-500000000</f>
        <v>1500000000</v>
      </c>
      <c r="P124" s="25"/>
      <c r="Q124" s="14">
        <v>0</v>
      </c>
      <c r="R124" s="18">
        <v>0</v>
      </c>
      <c r="S124" s="26"/>
      <c r="T124" s="26"/>
      <c r="U124" s="15"/>
      <c r="V124" s="109"/>
      <c r="W124" s="19"/>
    </row>
    <row r="125" spans="1:23" s="17" customFormat="1" ht="42.75" customHeight="1">
      <c r="A125" s="51">
        <v>109</v>
      </c>
      <c r="B125" s="20"/>
      <c r="C125" s="135" t="s">
        <v>168</v>
      </c>
      <c r="D125" s="136"/>
      <c r="E125" s="22"/>
      <c r="F125" s="22"/>
      <c r="G125" s="22"/>
      <c r="H125" s="22"/>
      <c r="I125" s="24"/>
      <c r="J125" s="24"/>
      <c r="K125" s="24"/>
      <c r="L125" s="13">
        <v>3807065418</v>
      </c>
      <c r="M125" s="22"/>
      <c r="N125" s="22"/>
      <c r="O125" s="24"/>
      <c r="P125" s="25"/>
      <c r="Q125" s="14">
        <v>0</v>
      </c>
      <c r="R125" s="18">
        <v>0</v>
      </c>
      <c r="S125" s="26"/>
      <c r="T125" s="26"/>
      <c r="U125" s="15"/>
      <c r="V125" s="109"/>
      <c r="W125" s="19"/>
    </row>
    <row r="126" spans="1:23" s="17" customFormat="1" ht="35.25" customHeight="1">
      <c r="A126" s="129" t="s">
        <v>169</v>
      </c>
      <c r="B126" s="130"/>
      <c r="C126" s="130"/>
      <c r="D126" s="131"/>
      <c r="E126" s="13">
        <f t="shared" ref="E126:O126" si="24">SUM(E127,E134,E148,E162)</f>
        <v>9421881929</v>
      </c>
      <c r="F126" s="13">
        <f t="shared" si="24"/>
        <v>302513743</v>
      </c>
      <c r="G126" s="13">
        <f t="shared" si="24"/>
        <v>3102608978</v>
      </c>
      <c r="H126" s="13">
        <f t="shared" si="24"/>
        <v>3102608978</v>
      </c>
      <c r="I126" s="13">
        <f t="shared" si="24"/>
        <v>4708575858.8599997</v>
      </c>
      <c r="J126" s="13">
        <f t="shared" si="24"/>
        <v>2077503628.1200001</v>
      </c>
      <c r="K126" s="13">
        <f t="shared" si="24"/>
        <v>4725143773.1599998</v>
      </c>
      <c r="L126" s="13">
        <v>7003335243.3330002</v>
      </c>
      <c r="M126" s="13">
        <f t="shared" si="24"/>
        <v>4574183690</v>
      </c>
      <c r="N126" s="13">
        <f t="shared" si="24"/>
        <v>4574183690</v>
      </c>
      <c r="O126" s="13">
        <f t="shared" si="24"/>
        <v>111928517484.89999</v>
      </c>
      <c r="P126" s="14">
        <v>198266428</v>
      </c>
      <c r="Q126" s="14">
        <v>4241380806.2575998</v>
      </c>
      <c r="R126" s="14">
        <v>4439647234.2575998</v>
      </c>
      <c r="S126" s="15"/>
      <c r="T126" s="15"/>
      <c r="U126" s="15"/>
      <c r="V126" s="100"/>
      <c r="W126" s="19"/>
    </row>
    <row r="127" spans="1:23" s="17" customFormat="1" ht="38.25" customHeight="1">
      <c r="A127" s="160" t="s">
        <v>170</v>
      </c>
      <c r="B127" s="160"/>
      <c r="C127" s="160"/>
      <c r="D127" s="160"/>
      <c r="E127" s="13">
        <f>SUM(E128:E133)</f>
        <v>243356200</v>
      </c>
      <c r="F127" s="13">
        <f t="shared" ref="F127:O127" si="25">SUM(F128:F133)</f>
        <v>0</v>
      </c>
      <c r="G127" s="13">
        <f t="shared" si="25"/>
        <v>0</v>
      </c>
      <c r="H127" s="13">
        <f t="shared" si="25"/>
        <v>0</v>
      </c>
      <c r="I127" s="13">
        <f t="shared" si="25"/>
        <v>706132494.11000001</v>
      </c>
      <c r="J127" s="13">
        <f t="shared" si="25"/>
        <v>353066247</v>
      </c>
      <c r="K127" s="13">
        <f t="shared" si="25"/>
        <v>753970942.67999995</v>
      </c>
      <c r="L127" s="13">
        <v>79802553.599999994</v>
      </c>
      <c r="M127" s="13">
        <f t="shared" si="25"/>
        <v>0</v>
      </c>
      <c r="N127" s="13">
        <f t="shared" si="25"/>
        <v>0</v>
      </c>
      <c r="O127" s="13">
        <f t="shared" si="25"/>
        <v>1339716981</v>
      </c>
      <c r="P127" s="14">
        <v>0</v>
      </c>
      <c r="Q127" s="14">
        <v>126960938.40000001</v>
      </c>
      <c r="R127" s="14">
        <v>126960938.40000001</v>
      </c>
      <c r="S127" s="15"/>
      <c r="T127" s="15"/>
      <c r="U127" s="15"/>
      <c r="V127" s="100"/>
      <c r="W127" s="19"/>
    </row>
    <row r="128" spans="1:23" s="17" customFormat="1" ht="60.75" customHeight="1">
      <c r="A128" s="20">
        <v>110</v>
      </c>
      <c r="B128" s="157" t="s">
        <v>171</v>
      </c>
      <c r="C128" s="132" t="s">
        <v>172</v>
      </c>
      <c r="D128" s="132"/>
      <c r="E128" s="22">
        <f>253356200-10000000</f>
        <v>243356200</v>
      </c>
      <c r="F128" s="22">
        <v>0</v>
      </c>
      <c r="G128" s="22"/>
      <c r="H128" s="22"/>
      <c r="I128" s="22">
        <v>706132494.11000001</v>
      </c>
      <c r="J128" s="22">
        <v>353066247</v>
      </c>
      <c r="K128" s="57">
        <v>753970942.67999995</v>
      </c>
      <c r="L128" s="13">
        <v>25902553.599999998</v>
      </c>
      <c r="M128" s="24"/>
      <c r="N128" s="24"/>
      <c r="O128" s="22">
        <v>540000000</v>
      </c>
      <c r="P128" s="25"/>
      <c r="Q128" s="14">
        <v>0</v>
      </c>
      <c r="R128" s="18">
        <v>0</v>
      </c>
      <c r="S128" s="26"/>
      <c r="T128" s="26"/>
      <c r="U128" s="15"/>
      <c r="V128" s="104"/>
      <c r="W128" s="19"/>
    </row>
    <row r="129" spans="1:23" s="17" customFormat="1" ht="46.5" customHeight="1">
      <c r="A129" s="20">
        <v>111</v>
      </c>
      <c r="B129" s="157"/>
      <c r="C129" s="132" t="s">
        <v>173</v>
      </c>
      <c r="D129" s="132"/>
      <c r="E129" s="22"/>
      <c r="F129" s="22">
        <v>0</v>
      </c>
      <c r="G129" s="22"/>
      <c r="H129" s="22"/>
      <c r="I129" s="22"/>
      <c r="J129" s="22"/>
      <c r="K129" s="22"/>
      <c r="L129" s="13">
        <v>53900000</v>
      </c>
      <c r="M129" s="24"/>
      <c r="N129" s="24"/>
      <c r="O129" s="22">
        <v>646271568</v>
      </c>
      <c r="P129" s="25"/>
      <c r="Q129" s="14">
        <v>0</v>
      </c>
      <c r="R129" s="18">
        <v>0</v>
      </c>
      <c r="S129" s="26"/>
      <c r="T129" s="26"/>
      <c r="U129" s="15"/>
      <c r="V129" s="104"/>
      <c r="W129" s="19"/>
    </row>
    <row r="130" spans="1:23" s="17" customFormat="1" ht="48.75" customHeight="1">
      <c r="A130" s="20">
        <v>112</v>
      </c>
      <c r="B130" s="21" t="s">
        <v>88</v>
      </c>
      <c r="C130" s="132" t="s">
        <v>174</v>
      </c>
      <c r="D130" s="132"/>
      <c r="E130" s="22"/>
      <c r="F130" s="22">
        <v>0</v>
      </c>
      <c r="G130" s="22"/>
      <c r="H130" s="22"/>
      <c r="I130" s="22"/>
      <c r="J130" s="22"/>
      <c r="K130" s="22"/>
      <c r="L130" s="13">
        <v>0</v>
      </c>
      <c r="M130" s="24"/>
      <c r="N130" s="24"/>
      <c r="O130" s="24">
        <v>31579054</v>
      </c>
      <c r="P130" s="25">
        <v>0</v>
      </c>
      <c r="Q130" s="14">
        <v>3840000</v>
      </c>
      <c r="R130" s="18">
        <v>3840000</v>
      </c>
      <c r="S130" s="34"/>
      <c r="T130" s="34"/>
      <c r="U130" s="15"/>
      <c r="V130" s="104"/>
      <c r="W130" s="19"/>
    </row>
    <row r="131" spans="1:23" s="17" customFormat="1" ht="36.75" customHeight="1">
      <c r="A131" s="20">
        <v>113</v>
      </c>
      <c r="B131" s="21" t="s">
        <v>88</v>
      </c>
      <c r="C131" s="132" t="s">
        <v>175</v>
      </c>
      <c r="D131" s="132"/>
      <c r="E131" s="22"/>
      <c r="F131" s="22">
        <v>0</v>
      </c>
      <c r="G131" s="22"/>
      <c r="H131" s="22"/>
      <c r="I131" s="22"/>
      <c r="J131" s="22"/>
      <c r="K131" s="22"/>
      <c r="L131" s="13">
        <v>0</v>
      </c>
      <c r="M131" s="24"/>
      <c r="N131" s="24"/>
      <c r="O131" s="24"/>
      <c r="P131" s="25">
        <v>0</v>
      </c>
      <c r="Q131" s="14">
        <v>95912562.400000006</v>
      </c>
      <c r="R131" s="18">
        <v>95912562.400000006</v>
      </c>
      <c r="S131" s="34"/>
      <c r="T131" s="34"/>
      <c r="U131" s="15"/>
      <c r="V131" s="104"/>
      <c r="W131" s="19"/>
    </row>
    <row r="132" spans="1:23" s="17" customFormat="1" ht="39.75" customHeight="1">
      <c r="A132" s="20">
        <v>114</v>
      </c>
      <c r="B132" s="21" t="s">
        <v>88</v>
      </c>
      <c r="C132" s="132" t="s">
        <v>176</v>
      </c>
      <c r="D132" s="132"/>
      <c r="E132" s="22"/>
      <c r="F132" s="22">
        <v>0</v>
      </c>
      <c r="G132" s="22"/>
      <c r="H132" s="22"/>
      <c r="I132" s="22"/>
      <c r="J132" s="22"/>
      <c r="K132" s="22"/>
      <c r="L132" s="13">
        <v>0</v>
      </c>
      <c r="M132" s="24"/>
      <c r="N132" s="24"/>
      <c r="O132" s="24">
        <v>121866359</v>
      </c>
      <c r="P132" s="25">
        <v>0</v>
      </c>
      <c r="Q132" s="14">
        <v>23583279.199999999</v>
      </c>
      <c r="R132" s="18">
        <v>23583279.199999999</v>
      </c>
      <c r="S132" s="34"/>
      <c r="T132" s="34"/>
      <c r="U132" s="15"/>
      <c r="V132" s="104"/>
      <c r="W132" s="19"/>
    </row>
    <row r="133" spans="1:23" s="17" customFormat="1" ht="42.75" customHeight="1">
      <c r="A133" s="20">
        <v>115</v>
      </c>
      <c r="B133" s="21" t="s">
        <v>88</v>
      </c>
      <c r="C133" s="132" t="s">
        <v>177</v>
      </c>
      <c r="D133" s="132"/>
      <c r="E133" s="22"/>
      <c r="F133" s="22">
        <v>0</v>
      </c>
      <c r="G133" s="22"/>
      <c r="H133" s="22"/>
      <c r="I133" s="22"/>
      <c r="J133" s="22"/>
      <c r="K133" s="22"/>
      <c r="L133" s="13">
        <v>0</v>
      </c>
      <c r="M133" s="24"/>
      <c r="N133" s="24"/>
      <c r="O133" s="24"/>
      <c r="P133" s="25">
        <v>0</v>
      </c>
      <c r="Q133" s="14">
        <v>3625096.8</v>
      </c>
      <c r="R133" s="18">
        <v>3625096.8</v>
      </c>
      <c r="S133" s="34"/>
      <c r="T133" s="34"/>
      <c r="U133" s="15"/>
      <c r="V133" s="104"/>
      <c r="W133" s="19"/>
    </row>
    <row r="134" spans="1:23" s="17" customFormat="1" ht="40.5" customHeight="1">
      <c r="A134" s="139" t="s">
        <v>178</v>
      </c>
      <c r="B134" s="140"/>
      <c r="C134" s="140"/>
      <c r="D134" s="141"/>
      <c r="E134" s="13">
        <f>SUM(E135:E147)</f>
        <v>255623220</v>
      </c>
      <c r="F134" s="13">
        <f>SUM(F135:F143)</f>
        <v>0</v>
      </c>
      <c r="G134" s="13">
        <f t="shared" ref="G134:O134" si="26">SUM(G135:G147)</f>
        <v>14862758</v>
      </c>
      <c r="H134" s="13">
        <f t="shared" si="26"/>
        <v>14862758</v>
      </c>
      <c r="I134" s="13">
        <f t="shared" si="26"/>
        <v>376071794.08999997</v>
      </c>
      <c r="J134" s="13">
        <f t="shared" si="26"/>
        <v>191570190.87</v>
      </c>
      <c r="K134" s="13">
        <f t="shared" si="26"/>
        <v>433900701.60000002</v>
      </c>
      <c r="L134" s="13">
        <v>6287460609.7294998</v>
      </c>
      <c r="M134" s="13">
        <f t="shared" si="26"/>
        <v>1798902132</v>
      </c>
      <c r="N134" s="13">
        <f t="shared" si="26"/>
        <v>1798902132</v>
      </c>
      <c r="O134" s="13">
        <f t="shared" si="26"/>
        <v>14693984430.17</v>
      </c>
      <c r="P134" s="13">
        <v>38954965</v>
      </c>
      <c r="Q134" s="13">
        <v>900813692.85599995</v>
      </c>
      <c r="R134" s="13">
        <v>939768657.85599995</v>
      </c>
      <c r="S134" s="15"/>
      <c r="T134" s="15"/>
      <c r="U134" s="15"/>
      <c r="V134" s="100"/>
      <c r="W134" s="19"/>
    </row>
    <row r="135" spans="1:23" s="17" customFormat="1" ht="55.5" customHeight="1">
      <c r="A135" s="20">
        <v>116</v>
      </c>
      <c r="B135" s="157" t="s">
        <v>179</v>
      </c>
      <c r="C135" s="132" t="s">
        <v>180</v>
      </c>
      <c r="D135" s="132"/>
      <c r="E135" s="22">
        <v>70612500</v>
      </c>
      <c r="F135" s="22">
        <v>0</v>
      </c>
      <c r="G135" s="22"/>
      <c r="H135" s="22"/>
      <c r="I135" s="22">
        <v>152201513.47999999</v>
      </c>
      <c r="J135" s="22">
        <v>73792595.280000001</v>
      </c>
      <c r="K135" s="27">
        <v>184689126.75999999</v>
      </c>
      <c r="L135" s="13">
        <v>232562593.44999999</v>
      </c>
      <c r="M135" s="24"/>
      <c r="N135" s="24"/>
      <c r="O135" s="22">
        <v>420774466</v>
      </c>
      <c r="P135" s="25"/>
      <c r="Q135" s="14">
        <v>0</v>
      </c>
      <c r="R135" s="18">
        <v>0</v>
      </c>
      <c r="S135" s="26"/>
      <c r="T135" s="26"/>
      <c r="U135" s="15"/>
      <c r="V135" s="104"/>
      <c r="W135" s="19"/>
    </row>
    <row r="136" spans="1:23" s="17" customFormat="1" ht="32.25" customHeight="1">
      <c r="A136" s="20">
        <v>117</v>
      </c>
      <c r="B136" s="132"/>
      <c r="C136" s="132" t="s">
        <v>181</v>
      </c>
      <c r="D136" s="132"/>
      <c r="E136" s="22"/>
      <c r="F136" s="22">
        <v>0</v>
      </c>
      <c r="G136" s="22"/>
      <c r="H136" s="22"/>
      <c r="I136" s="22"/>
      <c r="J136" s="22"/>
      <c r="K136" s="22">
        <v>0</v>
      </c>
      <c r="L136" s="13">
        <v>0</v>
      </c>
      <c r="M136" s="24">
        <v>0</v>
      </c>
      <c r="N136" s="24">
        <v>0</v>
      </c>
      <c r="O136" s="22">
        <f>1908478895+5263412679</f>
        <v>7171891574</v>
      </c>
      <c r="P136" s="25"/>
      <c r="Q136" s="14">
        <v>0</v>
      </c>
      <c r="R136" s="18">
        <v>0</v>
      </c>
      <c r="S136" s="26"/>
      <c r="T136" s="26"/>
      <c r="U136" s="15"/>
      <c r="V136" s="104"/>
      <c r="W136" s="19"/>
    </row>
    <row r="137" spans="1:23" s="17" customFormat="1" ht="39" customHeight="1">
      <c r="A137" s="20">
        <v>118</v>
      </c>
      <c r="B137" s="21" t="s">
        <v>182</v>
      </c>
      <c r="C137" s="132" t="s">
        <v>183</v>
      </c>
      <c r="D137" s="132"/>
      <c r="E137" s="22">
        <v>6750000</v>
      </c>
      <c r="F137" s="22">
        <v>0</v>
      </c>
      <c r="G137" s="22"/>
      <c r="H137" s="22"/>
      <c r="I137" s="22">
        <v>25821077.68</v>
      </c>
      <c r="J137" s="22">
        <v>15732863.5</v>
      </c>
      <c r="K137" s="27">
        <v>30604891.32</v>
      </c>
      <c r="L137" s="13">
        <v>57291139.949999996</v>
      </c>
      <c r="M137" s="22"/>
      <c r="N137" s="22"/>
      <c r="O137" s="22">
        <v>147174572</v>
      </c>
      <c r="P137" s="25"/>
      <c r="Q137" s="14">
        <v>0</v>
      </c>
      <c r="R137" s="18">
        <v>0</v>
      </c>
      <c r="S137" s="26"/>
      <c r="T137" s="26"/>
      <c r="U137" s="15"/>
      <c r="V137" s="104"/>
      <c r="W137" s="19"/>
    </row>
    <row r="138" spans="1:23" s="17" customFormat="1" ht="40.5" customHeight="1">
      <c r="A138" s="20">
        <v>119</v>
      </c>
      <c r="B138" s="21" t="s">
        <v>184</v>
      </c>
      <c r="C138" s="132" t="s">
        <v>185</v>
      </c>
      <c r="D138" s="132"/>
      <c r="E138" s="22">
        <v>0</v>
      </c>
      <c r="F138" s="22">
        <v>0</v>
      </c>
      <c r="G138" s="22"/>
      <c r="H138" s="22"/>
      <c r="I138" s="22"/>
      <c r="J138" s="22"/>
      <c r="K138" s="22"/>
      <c r="L138" s="13">
        <v>72146256.599999994</v>
      </c>
      <c r="M138" s="22">
        <v>1798902132</v>
      </c>
      <c r="N138" s="22">
        <v>1798902132</v>
      </c>
      <c r="O138" s="24">
        <f>3322301578-500000000-500000000</f>
        <v>2322301578</v>
      </c>
      <c r="P138" s="25"/>
      <c r="Q138" s="14">
        <v>0</v>
      </c>
      <c r="R138" s="18">
        <v>0</v>
      </c>
      <c r="S138" s="26"/>
      <c r="T138" s="26"/>
      <c r="U138" s="15"/>
      <c r="V138" s="104"/>
      <c r="W138" s="19"/>
    </row>
    <row r="139" spans="1:23" s="17" customFormat="1" ht="45" customHeight="1">
      <c r="A139" s="20">
        <v>120</v>
      </c>
      <c r="B139" s="21" t="s">
        <v>88</v>
      </c>
      <c r="C139" s="132" t="s">
        <v>186</v>
      </c>
      <c r="D139" s="132"/>
      <c r="E139" s="22"/>
      <c r="F139" s="22"/>
      <c r="G139" s="22"/>
      <c r="H139" s="22"/>
      <c r="I139" s="22"/>
      <c r="J139" s="22"/>
      <c r="K139" s="22"/>
      <c r="L139" s="13">
        <v>0</v>
      </c>
      <c r="M139" s="22"/>
      <c r="N139" s="22"/>
      <c r="O139" s="24"/>
      <c r="P139" s="25">
        <v>0</v>
      </c>
      <c r="Q139" s="14">
        <v>27516877.600000001</v>
      </c>
      <c r="R139" s="18">
        <v>27516877.600000001</v>
      </c>
      <c r="S139" s="34"/>
      <c r="T139" s="34"/>
      <c r="U139" s="15"/>
      <c r="V139" s="104"/>
      <c r="W139" s="19"/>
    </row>
    <row r="140" spans="1:23" s="17" customFormat="1" ht="49.5" customHeight="1">
      <c r="A140" s="20">
        <v>121</v>
      </c>
      <c r="B140" s="21" t="s">
        <v>187</v>
      </c>
      <c r="C140" s="132" t="s">
        <v>188</v>
      </c>
      <c r="D140" s="132"/>
      <c r="E140" s="22">
        <v>120000720</v>
      </c>
      <c r="F140" s="22">
        <v>0</v>
      </c>
      <c r="G140" s="22"/>
      <c r="H140" s="22"/>
      <c r="I140" s="24">
        <v>85896049.980000004</v>
      </c>
      <c r="J140" s="24">
        <v>53285559.479999997</v>
      </c>
      <c r="K140" s="27">
        <v>108446116.68000001</v>
      </c>
      <c r="L140" s="13">
        <v>33437393</v>
      </c>
      <c r="M140" s="24"/>
      <c r="N140" s="24"/>
      <c r="O140" s="24">
        <v>323444011</v>
      </c>
      <c r="P140" s="25">
        <v>0</v>
      </c>
      <c r="Q140" s="14">
        <v>0</v>
      </c>
      <c r="R140" s="18">
        <v>0</v>
      </c>
      <c r="S140" s="34"/>
      <c r="T140" s="34"/>
      <c r="U140" s="15"/>
      <c r="V140" s="104"/>
      <c r="W140" s="19"/>
    </row>
    <row r="141" spans="1:23" s="17" customFormat="1" ht="34.5" customHeight="1">
      <c r="A141" s="20">
        <v>122</v>
      </c>
      <c r="B141" s="21"/>
      <c r="C141" s="135" t="s">
        <v>189</v>
      </c>
      <c r="D141" s="136"/>
      <c r="E141" s="22">
        <v>0</v>
      </c>
      <c r="F141" s="22">
        <v>0</v>
      </c>
      <c r="G141" s="22"/>
      <c r="H141" s="22"/>
      <c r="I141" s="24"/>
      <c r="J141" s="24"/>
      <c r="K141" s="24"/>
      <c r="L141" s="13">
        <v>0</v>
      </c>
      <c r="M141" s="24"/>
      <c r="N141" s="24"/>
      <c r="O141" s="24"/>
      <c r="P141" s="25">
        <v>0</v>
      </c>
      <c r="Q141" s="14">
        <v>43940561.600000001</v>
      </c>
      <c r="R141" s="18">
        <v>43940561.600000001</v>
      </c>
      <c r="S141" s="34"/>
      <c r="T141" s="34"/>
      <c r="U141" s="15"/>
      <c r="V141" s="104"/>
      <c r="W141" s="19"/>
    </row>
    <row r="142" spans="1:23" s="17" customFormat="1" ht="36.75" customHeight="1">
      <c r="A142" s="20">
        <v>123</v>
      </c>
      <c r="B142" s="133" t="s">
        <v>88</v>
      </c>
      <c r="C142" s="132" t="s">
        <v>190</v>
      </c>
      <c r="D142" s="132"/>
      <c r="E142" s="22">
        <v>8260000</v>
      </c>
      <c r="F142" s="22">
        <v>0</v>
      </c>
      <c r="G142" s="22"/>
      <c r="H142" s="22"/>
      <c r="I142" s="22"/>
      <c r="J142" s="22"/>
      <c r="K142" s="22"/>
      <c r="L142" s="13">
        <v>0</v>
      </c>
      <c r="M142" s="24"/>
      <c r="N142" s="24"/>
      <c r="O142" s="22"/>
      <c r="P142" s="25">
        <v>38954965</v>
      </c>
      <c r="Q142" s="14">
        <v>81053817.599999994</v>
      </c>
      <c r="R142" s="18">
        <v>120008782.59999999</v>
      </c>
      <c r="S142" s="34"/>
      <c r="T142" s="34"/>
      <c r="U142" s="15"/>
      <c r="V142" s="104"/>
      <c r="W142" s="19"/>
    </row>
    <row r="143" spans="1:23" s="17" customFormat="1" ht="41.25" customHeight="1">
      <c r="A143" s="20">
        <v>124</v>
      </c>
      <c r="B143" s="134"/>
      <c r="C143" s="135" t="s">
        <v>191</v>
      </c>
      <c r="D143" s="136"/>
      <c r="E143" s="22"/>
      <c r="F143" s="22">
        <v>0</v>
      </c>
      <c r="G143" s="22"/>
      <c r="H143" s="22"/>
      <c r="I143" s="22"/>
      <c r="J143" s="22"/>
      <c r="K143" s="22"/>
      <c r="L143" s="13">
        <v>0</v>
      </c>
      <c r="M143" s="24"/>
      <c r="N143" s="24"/>
      <c r="O143" s="22">
        <v>275041598.08999997</v>
      </c>
      <c r="P143" s="25">
        <v>0</v>
      </c>
      <c r="Q143" s="14">
        <v>737788943.25600004</v>
      </c>
      <c r="R143" s="18">
        <v>737788943.25600004</v>
      </c>
      <c r="S143" s="34"/>
      <c r="T143" s="34"/>
      <c r="U143" s="15"/>
      <c r="V143" s="104"/>
      <c r="W143" s="19"/>
    </row>
    <row r="144" spans="1:23" s="17" customFormat="1" ht="30" customHeight="1">
      <c r="A144" s="20">
        <v>125</v>
      </c>
      <c r="B144" s="21"/>
      <c r="C144" s="135" t="s">
        <v>192</v>
      </c>
      <c r="D144" s="136"/>
      <c r="E144" s="22"/>
      <c r="F144" s="22"/>
      <c r="G144" s="22"/>
      <c r="H144" s="22"/>
      <c r="I144" s="22"/>
      <c r="J144" s="22"/>
      <c r="K144" s="22"/>
      <c r="L144" s="13">
        <v>5514000000</v>
      </c>
      <c r="M144" s="24"/>
      <c r="N144" s="24"/>
      <c r="O144" s="22">
        <v>3676000000</v>
      </c>
      <c r="P144" s="25"/>
      <c r="Q144" s="14">
        <v>0</v>
      </c>
      <c r="R144" s="18">
        <v>0</v>
      </c>
      <c r="S144" s="26"/>
      <c r="T144" s="26"/>
      <c r="U144" s="15"/>
      <c r="V144" s="104"/>
      <c r="W144" s="19"/>
    </row>
    <row r="145" spans="1:23" s="17" customFormat="1" ht="46.5" customHeight="1">
      <c r="A145" s="20">
        <v>126</v>
      </c>
      <c r="B145" s="32" t="s">
        <v>193</v>
      </c>
      <c r="C145" s="135" t="s">
        <v>194</v>
      </c>
      <c r="D145" s="136"/>
      <c r="E145" s="22">
        <v>50000000</v>
      </c>
      <c r="F145" s="22">
        <v>0</v>
      </c>
      <c r="G145" s="22">
        <v>0</v>
      </c>
      <c r="H145" s="22">
        <v>0</v>
      </c>
      <c r="I145" s="22">
        <v>112153152.95</v>
      </c>
      <c r="J145" s="22">
        <v>48759172.609999999</v>
      </c>
      <c r="K145" s="27">
        <v>110160566.84</v>
      </c>
      <c r="L145" s="13">
        <v>99046782.279499993</v>
      </c>
      <c r="M145" s="22"/>
      <c r="N145" s="22"/>
      <c r="O145" s="24">
        <v>356895513.07999998</v>
      </c>
      <c r="P145" s="25"/>
      <c r="Q145" s="14">
        <v>0</v>
      </c>
      <c r="R145" s="18">
        <v>0</v>
      </c>
      <c r="S145" s="26"/>
      <c r="T145" s="26"/>
      <c r="U145" s="15"/>
      <c r="V145" s="104"/>
      <c r="W145" s="19"/>
    </row>
    <row r="146" spans="1:23" s="17" customFormat="1" ht="45.75" customHeight="1">
      <c r="A146" s="20">
        <v>127</v>
      </c>
      <c r="B146" s="54"/>
      <c r="C146" s="135" t="s">
        <v>195</v>
      </c>
      <c r="D146" s="136"/>
      <c r="E146" s="22"/>
      <c r="F146" s="22"/>
      <c r="G146" s="22"/>
      <c r="H146" s="22"/>
      <c r="I146" s="22"/>
      <c r="J146" s="22"/>
      <c r="K146" s="22"/>
      <c r="L146" s="13">
        <v>278976444.44999999</v>
      </c>
      <c r="M146" s="22"/>
      <c r="N146" s="22"/>
      <c r="O146" s="22"/>
      <c r="P146" s="25"/>
      <c r="Q146" s="14">
        <v>0</v>
      </c>
      <c r="R146" s="18">
        <v>0</v>
      </c>
      <c r="S146" s="26"/>
      <c r="T146" s="26"/>
      <c r="U146" s="15"/>
      <c r="V146" s="104"/>
      <c r="W146" s="19"/>
    </row>
    <row r="147" spans="1:23" s="17" customFormat="1" ht="49.5" customHeight="1">
      <c r="A147" s="20">
        <v>128</v>
      </c>
      <c r="B147" s="21" t="s">
        <v>88</v>
      </c>
      <c r="C147" s="135" t="s">
        <v>196</v>
      </c>
      <c r="D147" s="136"/>
      <c r="E147" s="22"/>
      <c r="F147" s="22">
        <v>16116000</v>
      </c>
      <c r="G147" s="22">
        <v>14862758</v>
      </c>
      <c r="H147" s="22">
        <v>14862758</v>
      </c>
      <c r="I147" s="22"/>
      <c r="J147" s="22"/>
      <c r="K147" s="22"/>
      <c r="L147" s="13">
        <v>0</v>
      </c>
      <c r="M147" s="22"/>
      <c r="N147" s="22"/>
      <c r="O147" s="24">
        <v>461118</v>
      </c>
      <c r="P147" s="25">
        <v>0</v>
      </c>
      <c r="Q147" s="14">
        <v>10513492.800000001</v>
      </c>
      <c r="R147" s="18">
        <v>10513492.800000001</v>
      </c>
      <c r="S147" s="34"/>
      <c r="T147" s="34"/>
      <c r="U147" s="15"/>
      <c r="V147" s="104"/>
      <c r="W147" s="19"/>
    </row>
    <row r="148" spans="1:23" s="17" customFormat="1" ht="50.25" customHeight="1">
      <c r="A148" s="159" t="s">
        <v>197</v>
      </c>
      <c r="B148" s="159"/>
      <c r="C148" s="159"/>
      <c r="D148" s="159"/>
      <c r="E148" s="13">
        <f t="shared" ref="E148:O148" si="27">SUM(E149:E161)</f>
        <v>8400150509</v>
      </c>
      <c r="F148" s="13">
        <f t="shared" si="27"/>
        <v>302513743</v>
      </c>
      <c r="G148" s="13">
        <f t="shared" si="27"/>
        <v>3087746220</v>
      </c>
      <c r="H148" s="13">
        <f t="shared" si="27"/>
        <v>3087746220</v>
      </c>
      <c r="I148" s="13">
        <f t="shared" si="27"/>
        <v>2661992970.2799997</v>
      </c>
      <c r="J148" s="13">
        <f t="shared" si="27"/>
        <v>1100219220.5699999</v>
      </c>
      <c r="K148" s="13">
        <f t="shared" si="27"/>
        <v>2486113893.8800001</v>
      </c>
      <c r="L148" s="13">
        <v>473455803.18050003</v>
      </c>
      <c r="M148" s="13">
        <f t="shared" si="27"/>
        <v>1734584050</v>
      </c>
      <c r="N148" s="13">
        <f t="shared" si="27"/>
        <v>1734584050</v>
      </c>
      <c r="O148" s="13">
        <f t="shared" si="27"/>
        <v>24859557272.860001</v>
      </c>
      <c r="P148" s="14">
        <v>87311463</v>
      </c>
      <c r="Q148" s="14">
        <v>530852710.176</v>
      </c>
      <c r="R148" s="14">
        <v>618164173.176</v>
      </c>
      <c r="S148" s="15"/>
      <c r="T148" s="15"/>
      <c r="U148" s="15"/>
      <c r="V148" s="100"/>
      <c r="W148" s="19"/>
    </row>
    <row r="149" spans="1:23" s="17" customFormat="1" ht="46.5" customHeight="1">
      <c r="A149" s="20">
        <v>129</v>
      </c>
      <c r="B149" s="32" t="s">
        <v>198</v>
      </c>
      <c r="C149" s="135" t="s">
        <v>199</v>
      </c>
      <c r="D149" s="136"/>
      <c r="E149" s="22">
        <v>1500530000</v>
      </c>
      <c r="F149" s="22">
        <v>0</v>
      </c>
      <c r="G149" s="22"/>
      <c r="H149" s="22"/>
      <c r="I149" s="22">
        <v>2318167626</v>
      </c>
      <c r="J149" s="22">
        <v>915992243</v>
      </c>
      <c r="K149" s="27">
        <v>2046497569.96</v>
      </c>
      <c r="L149" s="13">
        <v>243899191.75050002</v>
      </c>
      <c r="M149" s="24"/>
      <c r="N149" s="24"/>
      <c r="O149" s="22">
        <v>839747593.27999997</v>
      </c>
      <c r="P149" s="25"/>
      <c r="Q149" s="14">
        <v>0</v>
      </c>
      <c r="R149" s="18">
        <v>0</v>
      </c>
      <c r="S149" s="26"/>
      <c r="T149" s="26"/>
      <c r="U149" s="15"/>
      <c r="V149" s="104"/>
      <c r="W149" s="19"/>
    </row>
    <row r="150" spans="1:23" s="17" customFormat="1" ht="42.75" customHeight="1">
      <c r="A150" s="20">
        <v>130</v>
      </c>
      <c r="B150" s="21" t="s">
        <v>88</v>
      </c>
      <c r="C150" s="135" t="s">
        <v>200</v>
      </c>
      <c r="D150" s="136"/>
      <c r="E150" s="22">
        <v>175000000</v>
      </c>
      <c r="F150" s="22"/>
      <c r="G150" s="22"/>
      <c r="H150" s="22"/>
      <c r="I150" s="22"/>
      <c r="J150" s="22"/>
      <c r="K150" s="22"/>
      <c r="L150" s="13">
        <v>0</v>
      </c>
      <c r="M150" s="22"/>
      <c r="N150" s="22"/>
      <c r="O150" s="22">
        <f>610000+5000000</f>
        <v>5610000</v>
      </c>
      <c r="P150" s="25">
        <v>0</v>
      </c>
      <c r="Q150" s="14">
        <v>44943288.799999997</v>
      </c>
      <c r="R150" s="18">
        <v>44943288.799999997</v>
      </c>
      <c r="S150" s="34"/>
      <c r="T150" s="34"/>
      <c r="U150" s="15"/>
      <c r="V150" s="104"/>
      <c r="W150" s="19"/>
    </row>
    <row r="151" spans="1:23" s="17" customFormat="1" ht="59.25" customHeight="1">
      <c r="A151" s="20">
        <v>131</v>
      </c>
      <c r="B151" s="58"/>
      <c r="C151" s="135" t="s">
        <v>201</v>
      </c>
      <c r="D151" s="136"/>
      <c r="E151" s="22">
        <v>500000000</v>
      </c>
      <c r="F151" s="22">
        <v>0</v>
      </c>
      <c r="G151" s="22"/>
      <c r="H151" s="22"/>
      <c r="I151" s="22"/>
      <c r="J151" s="22"/>
      <c r="K151" s="27">
        <v>0</v>
      </c>
      <c r="L151" s="13">
        <v>0</v>
      </c>
      <c r="M151" s="24"/>
      <c r="N151" s="24"/>
      <c r="O151" s="22">
        <v>200397344.58000001</v>
      </c>
      <c r="P151" s="25">
        <v>0</v>
      </c>
      <c r="Q151" s="14">
        <v>282776682.97600001</v>
      </c>
      <c r="R151" s="18">
        <v>282776682.97600001</v>
      </c>
      <c r="S151" s="34"/>
      <c r="T151" s="34"/>
      <c r="U151" s="15"/>
      <c r="V151" s="104"/>
      <c r="W151" s="19"/>
    </row>
    <row r="152" spans="1:23" s="17" customFormat="1" ht="60.75" customHeight="1">
      <c r="A152" s="20">
        <v>132</v>
      </c>
      <c r="B152" s="21" t="s">
        <v>202</v>
      </c>
      <c r="C152" s="135" t="s">
        <v>203</v>
      </c>
      <c r="D152" s="136"/>
      <c r="E152" s="22">
        <v>5667600509</v>
      </c>
      <c r="F152" s="22">
        <v>0</v>
      </c>
      <c r="G152" s="22"/>
      <c r="H152" s="22"/>
      <c r="I152" s="22">
        <v>343825344.27999997</v>
      </c>
      <c r="J152" s="22">
        <v>184226977.56999999</v>
      </c>
      <c r="K152" s="27">
        <v>439616323.92000002</v>
      </c>
      <c r="L152" s="22">
        <v>229556611.43000001</v>
      </c>
      <c r="M152" s="24"/>
      <c r="N152" s="24"/>
      <c r="O152" s="22">
        <v>153750000</v>
      </c>
      <c r="P152" s="25"/>
      <c r="Q152" s="14">
        <v>0</v>
      </c>
      <c r="R152" s="18">
        <v>0</v>
      </c>
      <c r="S152" s="26"/>
      <c r="T152" s="26"/>
      <c r="U152" s="15"/>
      <c r="V152" s="104"/>
      <c r="W152" s="19"/>
    </row>
    <row r="153" spans="1:23" s="17" customFormat="1" ht="49.5" customHeight="1">
      <c r="A153" s="20">
        <v>133</v>
      </c>
      <c r="B153" s="32"/>
      <c r="C153" s="135" t="s">
        <v>204</v>
      </c>
      <c r="D153" s="136"/>
      <c r="E153" s="22"/>
      <c r="F153" s="22">
        <v>0</v>
      </c>
      <c r="G153" s="22">
        <v>2908757102</v>
      </c>
      <c r="H153" s="22">
        <v>2908757102</v>
      </c>
      <c r="I153" s="22"/>
      <c r="J153" s="22"/>
      <c r="K153" s="22"/>
      <c r="L153" s="13">
        <v>0</v>
      </c>
      <c r="M153" s="24"/>
      <c r="N153" s="24"/>
      <c r="O153" s="22"/>
      <c r="P153" s="25"/>
      <c r="Q153" s="14">
        <v>0</v>
      </c>
      <c r="R153" s="18">
        <v>0</v>
      </c>
      <c r="S153" s="26"/>
      <c r="T153" s="26"/>
      <c r="U153" s="15"/>
      <c r="V153" s="104"/>
      <c r="W153" s="19"/>
    </row>
    <row r="154" spans="1:23" s="17" customFormat="1" ht="87.75" customHeight="1">
      <c r="A154" s="20">
        <v>134</v>
      </c>
      <c r="B154" s="147" t="s">
        <v>88</v>
      </c>
      <c r="C154" s="132" t="s">
        <v>205</v>
      </c>
      <c r="D154" s="132"/>
      <c r="E154" s="22"/>
      <c r="F154" s="22">
        <v>302513743</v>
      </c>
      <c r="G154" s="22">
        <f>278989118-100000000</f>
        <v>178989118</v>
      </c>
      <c r="H154" s="22">
        <f>278989118-100000000</f>
        <v>178989118</v>
      </c>
      <c r="I154" s="22"/>
      <c r="J154" s="22"/>
      <c r="K154" s="22"/>
      <c r="L154" s="13">
        <v>0</v>
      </c>
      <c r="M154" s="24"/>
      <c r="N154" s="24"/>
      <c r="O154" s="22">
        <f>17592763027+5087247855</f>
        <v>22680010882</v>
      </c>
      <c r="P154" s="25"/>
      <c r="Q154" s="14">
        <v>0</v>
      </c>
      <c r="R154" s="18">
        <v>0</v>
      </c>
      <c r="S154" s="26"/>
      <c r="T154" s="26"/>
      <c r="U154" s="15"/>
      <c r="V154" s="104"/>
      <c r="W154" s="19"/>
    </row>
    <row r="155" spans="1:23" s="17" customFormat="1" ht="47.25" customHeight="1">
      <c r="A155" s="20">
        <v>135</v>
      </c>
      <c r="B155" s="148"/>
      <c r="C155" s="135" t="s">
        <v>206</v>
      </c>
      <c r="D155" s="136"/>
      <c r="E155" s="22"/>
      <c r="F155" s="22"/>
      <c r="G155" s="22"/>
      <c r="H155" s="22"/>
      <c r="I155" s="22"/>
      <c r="J155" s="22"/>
      <c r="K155" s="22"/>
      <c r="L155" s="13">
        <v>0</v>
      </c>
      <c r="M155" s="24"/>
      <c r="N155" s="24"/>
      <c r="O155" s="22"/>
      <c r="P155" s="25"/>
      <c r="Q155" s="14">
        <v>0</v>
      </c>
      <c r="R155" s="18">
        <v>0</v>
      </c>
      <c r="S155" s="26"/>
      <c r="T155" s="26"/>
      <c r="U155" s="15"/>
      <c r="V155" s="104"/>
      <c r="W155" s="19"/>
    </row>
    <row r="156" spans="1:23" s="36" customFormat="1" ht="33" customHeight="1">
      <c r="A156" s="20">
        <v>136</v>
      </c>
      <c r="B156" s="149"/>
      <c r="C156" s="132" t="s">
        <v>207</v>
      </c>
      <c r="D156" s="132"/>
      <c r="E156" s="22"/>
      <c r="F156" s="22"/>
      <c r="G156" s="22"/>
      <c r="H156" s="22"/>
      <c r="I156" s="22"/>
      <c r="J156" s="22"/>
      <c r="K156" s="22"/>
      <c r="L156" s="13">
        <v>0</v>
      </c>
      <c r="M156" s="22">
        <f>2208800351-474216301</f>
        <v>1734584050</v>
      </c>
      <c r="N156" s="22">
        <f>2208800351-474216301</f>
        <v>1734584050</v>
      </c>
      <c r="O156" s="22"/>
      <c r="P156" s="25"/>
      <c r="Q156" s="14">
        <v>0</v>
      </c>
      <c r="R156" s="18">
        <v>0</v>
      </c>
      <c r="S156" s="26"/>
      <c r="T156" s="26"/>
      <c r="U156" s="15"/>
      <c r="V156" s="104"/>
      <c r="W156" s="19"/>
    </row>
    <row r="157" spans="1:23" s="17" customFormat="1" ht="75.75" customHeight="1">
      <c r="A157" s="20">
        <v>137</v>
      </c>
      <c r="B157" s="59"/>
      <c r="C157" s="135" t="s">
        <v>208</v>
      </c>
      <c r="D157" s="136"/>
      <c r="E157" s="22">
        <v>300000000</v>
      </c>
      <c r="F157" s="22"/>
      <c r="G157" s="22"/>
      <c r="H157" s="22"/>
      <c r="I157" s="22"/>
      <c r="J157" s="22"/>
      <c r="K157" s="22"/>
      <c r="L157" s="13">
        <v>0</v>
      </c>
      <c r="M157" s="22"/>
      <c r="N157" s="22"/>
      <c r="O157" s="22"/>
      <c r="P157" s="25"/>
      <c r="Q157" s="14">
        <v>0</v>
      </c>
      <c r="R157" s="18">
        <v>0</v>
      </c>
      <c r="S157" s="26"/>
      <c r="T157" s="26"/>
      <c r="U157" s="15"/>
      <c r="V157" s="100"/>
      <c r="W157" s="19"/>
    </row>
    <row r="158" spans="1:23" s="36" customFormat="1" ht="39.75" customHeight="1">
      <c r="A158" s="20">
        <v>138</v>
      </c>
      <c r="B158" s="21" t="s">
        <v>88</v>
      </c>
      <c r="C158" s="132" t="s">
        <v>209</v>
      </c>
      <c r="D158" s="132"/>
      <c r="E158" s="22"/>
      <c r="F158" s="22">
        <v>0</v>
      </c>
      <c r="G158" s="22"/>
      <c r="H158" s="22"/>
      <c r="I158" s="22"/>
      <c r="J158" s="22"/>
      <c r="K158" s="22"/>
      <c r="L158" s="13">
        <v>0</v>
      </c>
      <c r="M158" s="22"/>
      <c r="N158" s="22"/>
      <c r="O158" s="24"/>
      <c r="P158" s="25">
        <v>0</v>
      </c>
      <c r="Q158" s="14">
        <v>125424120</v>
      </c>
      <c r="R158" s="18">
        <v>125424120</v>
      </c>
      <c r="S158" s="34"/>
      <c r="T158" s="34"/>
      <c r="U158" s="15"/>
      <c r="V158" s="104"/>
      <c r="W158" s="19"/>
    </row>
    <row r="159" spans="1:23" s="36" customFormat="1" ht="39.75" customHeight="1">
      <c r="A159" s="20">
        <v>139</v>
      </c>
      <c r="B159" s="21"/>
      <c r="C159" s="135" t="s">
        <v>210</v>
      </c>
      <c r="D159" s="136"/>
      <c r="E159" s="22"/>
      <c r="F159" s="22"/>
      <c r="G159" s="22"/>
      <c r="H159" s="22"/>
      <c r="I159" s="22"/>
      <c r="J159" s="22"/>
      <c r="K159" s="22"/>
      <c r="L159" s="13">
        <v>0</v>
      </c>
      <c r="M159" s="22"/>
      <c r="N159" s="22"/>
      <c r="O159" s="24">
        <f>922236179-422236179</f>
        <v>500000000</v>
      </c>
      <c r="P159" s="25"/>
      <c r="Q159" s="14">
        <v>0</v>
      </c>
      <c r="R159" s="18">
        <v>0</v>
      </c>
      <c r="S159" s="34"/>
      <c r="T159" s="34"/>
      <c r="U159" s="15"/>
      <c r="V159" s="104"/>
      <c r="W159" s="19"/>
    </row>
    <row r="160" spans="1:23" s="17" customFormat="1" ht="65.25" customHeight="1">
      <c r="A160" s="20">
        <v>140</v>
      </c>
      <c r="B160" s="21" t="s">
        <v>88</v>
      </c>
      <c r="C160" s="132" t="s">
        <v>211</v>
      </c>
      <c r="D160" s="132"/>
      <c r="E160" s="22">
        <v>172500000</v>
      </c>
      <c r="F160" s="24">
        <v>0</v>
      </c>
      <c r="G160" s="24"/>
      <c r="H160" s="24"/>
      <c r="I160" s="22"/>
      <c r="J160" s="22"/>
      <c r="K160" s="22"/>
      <c r="L160" s="13">
        <v>0</v>
      </c>
      <c r="M160" s="24"/>
      <c r="N160" s="24"/>
      <c r="O160" s="22">
        <v>470405365</v>
      </c>
      <c r="P160" s="25">
        <v>46199463</v>
      </c>
      <c r="Q160" s="14">
        <v>36819324</v>
      </c>
      <c r="R160" s="18">
        <v>83018787</v>
      </c>
      <c r="S160" s="34"/>
      <c r="T160" s="34"/>
      <c r="U160" s="15"/>
      <c r="V160" s="104"/>
      <c r="W160" s="19"/>
    </row>
    <row r="161" spans="1:23" s="36" customFormat="1" ht="42.75" customHeight="1">
      <c r="A161" s="20">
        <v>141</v>
      </c>
      <c r="B161" s="21" t="s">
        <v>88</v>
      </c>
      <c r="C161" s="135" t="s">
        <v>212</v>
      </c>
      <c r="D161" s="136"/>
      <c r="E161" s="22">
        <v>84520000</v>
      </c>
      <c r="F161" s="24">
        <v>0</v>
      </c>
      <c r="G161" s="24"/>
      <c r="H161" s="24"/>
      <c r="I161" s="22"/>
      <c r="J161" s="22"/>
      <c r="K161" s="22"/>
      <c r="L161" s="13">
        <v>0</v>
      </c>
      <c r="M161" s="24"/>
      <c r="N161" s="24"/>
      <c r="O161" s="22">
        <v>9636088</v>
      </c>
      <c r="P161" s="25">
        <v>41112000</v>
      </c>
      <c r="Q161" s="14">
        <v>40889294.399999999</v>
      </c>
      <c r="R161" s="18">
        <v>82001294.400000006</v>
      </c>
      <c r="S161" s="34"/>
      <c r="T161" s="34"/>
      <c r="U161" s="15"/>
      <c r="V161" s="104"/>
      <c r="W161" s="19"/>
    </row>
    <row r="162" spans="1:23" s="17" customFormat="1" ht="30.75" customHeight="1">
      <c r="A162" s="139" t="s">
        <v>213</v>
      </c>
      <c r="B162" s="140"/>
      <c r="C162" s="140"/>
      <c r="D162" s="141"/>
      <c r="E162" s="13">
        <f t="shared" ref="E162:O162" si="28">SUM(E163:E175)</f>
        <v>522752000</v>
      </c>
      <c r="F162" s="13">
        <f t="shared" si="28"/>
        <v>0</v>
      </c>
      <c r="G162" s="13">
        <f t="shared" si="28"/>
        <v>0</v>
      </c>
      <c r="H162" s="13">
        <f t="shared" si="28"/>
        <v>0</v>
      </c>
      <c r="I162" s="13">
        <f t="shared" si="28"/>
        <v>964378600.38</v>
      </c>
      <c r="J162" s="13">
        <f t="shared" si="28"/>
        <v>432647969.68000001</v>
      </c>
      <c r="K162" s="13">
        <f t="shared" si="28"/>
        <v>1051158235.0000001</v>
      </c>
      <c r="L162" s="13">
        <v>162616276.82299998</v>
      </c>
      <c r="M162" s="13">
        <f t="shared" si="28"/>
        <v>1040697508</v>
      </c>
      <c r="N162" s="13">
        <f t="shared" si="28"/>
        <v>1040697508</v>
      </c>
      <c r="O162" s="13">
        <f t="shared" si="28"/>
        <v>71035258800.869995</v>
      </c>
      <c r="P162" s="14">
        <v>72000000</v>
      </c>
      <c r="Q162" s="14">
        <v>2682753464.8256001</v>
      </c>
      <c r="R162" s="14">
        <v>2754753464.8256001</v>
      </c>
      <c r="S162" s="15"/>
      <c r="T162" s="15"/>
      <c r="U162" s="15"/>
      <c r="V162" s="100"/>
      <c r="W162" s="19"/>
    </row>
    <row r="163" spans="1:23" s="17" customFormat="1" ht="30" customHeight="1">
      <c r="A163" s="51">
        <v>142</v>
      </c>
      <c r="B163" s="133" t="s">
        <v>214</v>
      </c>
      <c r="C163" s="132" t="s">
        <v>215</v>
      </c>
      <c r="D163" s="132"/>
      <c r="E163" s="22">
        <v>3252000</v>
      </c>
      <c r="F163" s="22"/>
      <c r="G163" s="22"/>
      <c r="H163" s="22"/>
      <c r="I163" s="22">
        <v>578526820</v>
      </c>
      <c r="J163" s="22">
        <v>263786169.97</v>
      </c>
      <c r="K163" s="27">
        <v>543651373.60000002</v>
      </c>
      <c r="L163" s="13">
        <v>83513359.434999987</v>
      </c>
      <c r="M163" s="22"/>
      <c r="N163" s="22"/>
      <c r="O163" s="22">
        <v>972782389.15999997</v>
      </c>
      <c r="P163" s="22"/>
      <c r="Q163" s="14">
        <v>0</v>
      </c>
      <c r="R163" s="18">
        <v>0</v>
      </c>
      <c r="S163" s="61"/>
      <c r="T163" s="61"/>
      <c r="U163" s="15"/>
      <c r="V163" s="104"/>
      <c r="W163" s="19"/>
    </row>
    <row r="164" spans="1:23" s="17" customFormat="1" ht="52.5" customHeight="1">
      <c r="A164" s="51">
        <v>143</v>
      </c>
      <c r="B164" s="156"/>
      <c r="C164" s="135" t="s">
        <v>216</v>
      </c>
      <c r="D164" s="136"/>
      <c r="E164" s="22"/>
      <c r="F164" s="22">
        <v>0</v>
      </c>
      <c r="G164" s="22"/>
      <c r="H164" s="22"/>
      <c r="I164" s="22"/>
      <c r="J164" s="22"/>
      <c r="K164" s="22"/>
      <c r="L164" s="13">
        <v>0</v>
      </c>
      <c r="M164" s="24"/>
      <c r="N164" s="24"/>
      <c r="O164" s="22">
        <f>2780490700.28-200000000</f>
        <v>2580490700.2800002</v>
      </c>
      <c r="P164" s="25"/>
      <c r="Q164" s="14">
        <v>0</v>
      </c>
      <c r="R164" s="18">
        <v>0</v>
      </c>
      <c r="S164" s="26"/>
      <c r="T164" s="26"/>
      <c r="U164" s="15"/>
      <c r="V164" s="104"/>
      <c r="W164" s="19"/>
    </row>
    <row r="165" spans="1:23" s="17" customFormat="1" ht="33.75" customHeight="1">
      <c r="A165" s="51">
        <v>144</v>
      </c>
      <c r="B165" s="134"/>
      <c r="C165" s="135" t="s">
        <v>217</v>
      </c>
      <c r="D165" s="136"/>
      <c r="E165" s="22"/>
      <c r="F165" s="22">
        <v>0</v>
      </c>
      <c r="G165" s="22"/>
      <c r="H165" s="22"/>
      <c r="I165" s="22"/>
      <c r="J165" s="22"/>
      <c r="K165" s="22"/>
      <c r="L165" s="13">
        <v>0</v>
      </c>
      <c r="M165" s="24"/>
      <c r="N165" s="24"/>
      <c r="O165" s="22"/>
      <c r="P165" s="25"/>
      <c r="Q165" s="14">
        <v>0</v>
      </c>
      <c r="R165" s="18">
        <v>0</v>
      </c>
      <c r="S165" s="26"/>
      <c r="T165" s="26"/>
      <c r="U165" s="15"/>
      <c r="V165" s="104"/>
      <c r="W165" s="19"/>
    </row>
    <row r="166" spans="1:23" s="62" customFormat="1" ht="41.25" customHeight="1">
      <c r="A166" s="51">
        <v>145</v>
      </c>
      <c r="B166" s="133" t="s">
        <v>218</v>
      </c>
      <c r="C166" s="132" t="s">
        <v>219</v>
      </c>
      <c r="D166" s="132"/>
      <c r="E166" s="22">
        <v>31000000</v>
      </c>
      <c r="F166" s="22">
        <v>0</v>
      </c>
      <c r="G166" s="22"/>
      <c r="H166" s="22"/>
      <c r="I166" s="22">
        <v>281901849.48000002</v>
      </c>
      <c r="J166" s="22">
        <v>120465473.34</v>
      </c>
      <c r="K166" s="27">
        <v>400260853.80000001</v>
      </c>
      <c r="L166" s="13">
        <v>34123485.637999997</v>
      </c>
      <c r="M166" s="24"/>
      <c r="N166" s="24"/>
      <c r="O166" s="22">
        <f>51342874555.75-1131000000-654014091-5087247855-1000000000</f>
        <v>43470612609.75</v>
      </c>
      <c r="P166" s="25"/>
      <c r="Q166" s="14">
        <v>0</v>
      </c>
      <c r="R166" s="18">
        <v>0</v>
      </c>
      <c r="S166" s="26"/>
      <c r="T166" s="26"/>
      <c r="U166" s="15"/>
      <c r="V166" s="68"/>
      <c r="W166" s="19"/>
    </row>
    <row r="167" spans="1:23" s="17" customFormat="1" ht="56.25" customHeight="1">
      <c r="A167" s="51">
        <v>146</v>
      </c>
      <c r="B167" s="134"/>
      <c r="C167" s="135" t="s">
        <v>220</v>
      </c>
      <c r="D167" s="136"/>
      <c r="E167" s="22"/>
      <c r="F167" s="22">
        <v>0</v>
      </c>
      <c r="G167" s="22"/>
      <c r="H167" s="22"/>
      <c r="I167" s="22"/>
      <c r="J167" s="22"/>
      <c r="K167" s="22"/>
      <c r="L167" s="13">
        <v>0</v>
      </c>
      <c r="M167" s="24"/>
      <c r="N167" s="24"/>
      <c r="O167" s="22">
        <f>16600251223.75-1039300000</f>
        <v>15560951223.75</v>
      </c>
      <c r="P167" s="25"/>
      <c r="Q167" s="14">
        <v>0</v>
      </c>
      <c r="R167" s="18">
        <v>0</v>
      </c>
      <c r="S167" s="26"/>
      <c r="T167" s="26"/>
      <c r="U167" s="15"/>
      <c r="V167" s="104"/>
      <c r="W167" s="19"/>
    </row>
    <row r="168" spans="1:23" s="17" customFormat="1" ht="64.5" customHeight="1">
      <c r="A168" s="51">
        <v>147</v>
      </c>
      <c r="B168" s="54"/>
      <c r="C168" s="135" t="s">
        <v>221</v>
      </c>
      <c r="D168" s="136"/>
      <c r="E168" s="22"/>
      <c r="F168" s="22">
        <v>0</v>
      </c>
      <c r="G168" s="22"/>
      <c r="H168" s="22"/>
      <c r="I168" s="22"/>
      <c r="J168" s="22"/>
      <c r="K168" s="22"/>
      <c r="L168" s="13">
        <v>0</v>
      </c>
      <c r="M168" s="24"/>
      <c r="N168" s="24"/>
      <c r="O168" s="22">
        <f>323653697.22-100000000</f>
        <v>223653697.22000003</v>
      </c>
      <c r="P168" s="25"/>
      <c r="Q168" s="14">
        <v>0</v>
      </c>
      <c r="R168" s="18">
        <v>0</v>
      </c>
      <c r="S168" s="26"/>
      <c r="T168" s="26"/>
      <c r="U168" s="15"/>
      <c r="V168" s="104"/>
      <c r="W168" s="19"/>
    </row>
    <row r="169" spans="1:23" s="17" customFormat="1" ht="34.5" customHeight="1">
      <c r="A169" s="51">
        <v>148</v>
      </c>
      <c r="B169" s="54" t="s">
        <v>222</v>
      </c>
      <c r="C169" s="135" t="s">
        <v>223</v>
      </c>
      <c r="D169" s="136"/>
      <c r="E169" s="22"/>
      <c r="F169" s="22">
        <v>0</v>
      </c>
      <c r="G169" s="22"/>
      <c r="H169" s="22"/>
      <c r="I169" s="22"/>
      <c r="J169" s="22"/>
      <c r="K169" s="22"/>
      <c r="L169" s="13">
        <v>23100000</v>
      </c>
      <c r="M169" s="24"/>
      <c r="N169" s="24"/>
      <c r="O169" s="22">
        <v>543619973.71000004</v>
      </c>
      <c r="P169" s="25"/>
      <c r="Q169" s="14">
        <v>0</v>
      </c>
      <c r="R169" s="18">
        <v>0</v>
      </c>
      <c r="S169" s="26"/>
      <c r="T169" s="26"/>
      <c r="U169" s="15"/>
      <c r="V169" s="104"/>
      <c r="W169" s="19"/>
    </row>
    <row r="170" spans="1:23" s="17" customFormat="1" ht="44.25" customHeight="1">
      <c r="A170" s="51">
        <v>149</v>
      </c>
      <c r="B170" s="157" t="s">
        <v>88</v>
      </c>
      <c r="C170" s="132" t="s">
        <v>224</v>
      </c>
      <c r="D170" s="132"/>
      <c r="E170" s="22">
        <v>1000000</v>
      </c>
      <c r="F170" s="22">
        <v>0</v>
      </c>
      <c r="G170" s="22"/>
      <c r="H170" s="22"/>
      <c r="I170" s="22"/>
      <c r="J170" s="22"/>
      <c r="K170" s="22"/>
      <c r="L170" s="13">
        <v>0</v>
      </c>
      <c r="M170" s="24"/>
      <c r="N170" s="24"/>
      <c r="O170" s="22">
        <v>245359264</v>
      </c>
      <c r="P170" s="25">
        <v>72000000</v>
      </c>
      <c r="Q170" s="14">
        <v>63602716</v>
      </c>
      <c r="R170" s="18">
        <v>135602716</v>
      </c>
      <c r="S170" s="34"/>
      <c r="T170" s="34"/>
      <c r="U170" s="15"/>
      <c r="V170" s="104"/>
      <c r="W170" s="19"/>
    </row>
    <row r="171" spans="1:23" s="17" customFormat="1" ht="30" customHeight="1">
      <c r="A171" s="51">
        <v>150</v>
      </c>
      <c r="B171" s="157"/>
      <c r="C171" s="135" t="s">
        <v>225</v>
      </c>
      <c r="D171" s="136"/>
      <c r="E171" s="22"/>
      <c r="F171" s="22">
        <v>0</v>
      </c>
      <c r="G171" s="22"/>
      <c r="H171" s="22"/>
      <c r="I171" s="22"/>
      <c r="J171" s="22"/>
      <c r="K171" s="22"/>
      <c r="L171" s="13">
        <v>0</v>
      </c>
      <c r="M171" s="22"/>
      <c r="N171" s="22"/>
      <c r="O171" s="22">
        <v>737788943</v>
      </c>
      <c r="P171" s="25">
        <v>0</v>
      </c>
      <c r="Q171" s="14">
        <v>2360924618.4256001</v>
      </c>
      <c r="R171" s="18">
        <v>2360924618.4256001</v>
      </c>
      <c r="S171" s="34"/>
      <c r="T171" s="34"/>
      <c r="U171" s="15"/>
      <c r="V171" s="104"/>
      <c r="W171" s="19"/>
    </row>
    <row r="172" spans="1:23" s="17" customFormat="1" ht="30" customHeight="1">
      <c r="A172" s="51">
        <v>151</v>
      </c>
      <c r="B172" s="56"/>
      <c r="C172" s="135" t="s">
        <v>226</v>
      </c>
      <c r="D172" s="136"/>
      <c r="E172" s="22"/>
      <c r="F172" s="22">
        <v>0</v>
      </c>
      <c r="G172" s="22"/>
      <c r="H172" s="22"/>
      <c r="I172" s="22"/>
      <c r="J172" s="22"/>
      <c r="K172" s="22"/>
      <c r="L172" s="13">
        <v>0</v>
      </c>
      <c r="M172" s="22"/>
      <c r="N172" s="22"/>
      <c r="O172" s="22"/>
      <c r="P172" s="25">
        <v>0</v>
      </c>
      <c r="Q172" s="14">
        <v>0</v>
      </c>
      <c r="R172" s="18">
        <v>0</v>
      </c>
      <c r="S172" s="34"/>
      <c r="T172" s="34"/>
      <c r="U172" s="15"/>
      <c r="V172" s="100"/>
      <c r="W172" s="19"/>
    </row>
    <row r="173" spans="1:23" s="17" customFormat="1" ht="50.25" customHeight="1">
      <c r="A173" s="51">
        <v>152</v>
      </c>
      <c r="B173" s="56"/>
      <c r="C173" s="135" t="s">
        <v>227</v>
      </c>
      <c r="D173" s="136"/>
      <c r="E173" s="22"/>
      <c r="F173" s="22">
        <v>0</v>
      </c>
      <c r="G173" s="22"/>
      <c r="H173" s="22"/>
      <c r="I173" s="22"/>
      <c r="J173" s="22"/>
      <c r="K173" s="22"/>
      <c r="L173" s="13">
        <v>0</v>
      </c>
      <c r="M173" s="22"/>
      <c r="N173" s="22"/>
      <c r="O173" s="22"/>
      <c r="P173" s="25">
        <v>0</v>
      </c>
      <c r="Q173" s="14">
        <v>258226130.40000001</v>
      </c>
      <c r="R173" s="18">
        <v>258226130.40000001</v>
      </c>
      <c r="S173" s="34"/>
      <c r="T173" s="34"/>
      <c r="U173" s="15"/>
      <c r="V173" s="104"/>
      <c r="W173" s="19"/>
    </row>
    <row r="174" spans="1:23" s="17" customFormat="1" ht="73.5" customHeight="1">
      <c r="A174" s="51">
        <v>153</v>
      </c>
      <c r="B174" s="21" t="s">
        <v>228</v>
      </c>
      <c r="C174" s="132" t="s">
        <v>229</v>
      </c>
      <c r="D174" s="132"/>
      <c r="E174" s="22">
        <f>687500000-200000000</f>
        <v>487500000</v>
      </c>
      <c r="F174" s="22">
        <v>0</v>
      </c>
      <c r="G174" s="22"/>
      <c r="H174" s="22"/>
      <c r="I174" s="24">
        <v>103949930.90000001</v>
      </c>
      <c r="J174" s="24">
        <v>48396326.369999997</v>
      </c>
      <c r="K174" s="27">
        <v>107246007.59999999</v>
      </c>
      <c r="L174" s="13">
        <v>21879431.75</v>
      </c>
      <c r="M174" s="24">
        <v>1040697508</v>
      </c>
      <c r="N174" s="24">
        <v>1040697508</v>
      </c>
      <c r="O174" s="22">
        <v>200000000</v>
      </c>
      <c r="P174" s="25"/>
      <c r="Q174" s="14">
        <v>0</v>
      </c>
      <c r="R174" s="18">
        <v>0</v>
      </c>
      <c r="S174" s="26"/>
      <c r="T174" s="26"/>
      <c r="U174" s="15"/>
      <c r="V174" s="113"/>
      <c r="W174" s="19"/>
    </row>
    <row r="175" spans="1:23" s="17" customFormat="1" ht="40.5" customHeight="1">
      <c r="A175" s="51">
        <v>154</v>
      </c>
      <c r="B175" s="21"/>
      <c r="C175" s="135" t="s">
        <v>230</v>
      </c>
      <c r="D175" s="136"/>
      <c r="E175" s="22"/>
      <c r="F175" s="22">
        <v>0</v>
      </c>
      <c r="G175" s="22"/>
      <c r="H175" s="22"/>
      <c r="I175" s="24"/>
      <c r="J175" s="24"/>
      <c r="K175" s="24"/>
      <c r="L175" s="13">
        <v>0</v>
      </c>
      <c r="M175" s="24"/>
      <c r="N175" s="24"/>
      <c r="O175" s="22">
        <v>6500000000</v>
      </c>
      <c r="P175" s="25"/>
      <c r="Q175" s="14">
        <v>0</v>
      </c>
      <c r="R175" s="18">
        <v>0</v>
      </c>
      <c r="S175" s="26"/>
      <c r="T175" s="26"/>
      <c r="U175" s="15"/>
      <c r="V175" s="113"/>
      <c r="W175" s="19"/>
    </row>
    <row r="176" spans="1:23" s="17" customFormat="1" ht="28.5" hidden="1" customHeight="1">
      <c r="A176" s="159" t="s">
        <v>231</v>
      </c>
      <c r="B176" s="159"/>
      <c r="C176" s="159"/>
      <c r="D176" s="159"/>
      <c r="E176" s="13">
        <f t="shared" ref="E176:O176" si="29">E177</f>
        <v>1407291141</v>
      </c>
      <c r="F176" s="13">
        <f t="shared" si="29"/>
        <v>5588049046</v>
      </c>
      <c r="G176" s="13">
        <f t="shared" si="29"/>
        <v>4751456498</v>
      </c>
      <c r="H176" s="13">
        <f t="shared" si="29"/>
        <v>4751456498</v>
      </c>
      <c r="I176" s="13">
        <f t="shared" si="29"/>
        <v>1576438072.3699999</v>
      </c>
      <c r="J176" s="13">
        <f t="shared" si="29"/>
        <v>906189218.80999994</v>
      </c>
      <c r="K176" s="13">
        <f t="shared" si="29"/>
        <v>1330880599.0799999</v>
      </c>
      <c r="L176" s="13">
        <v>1337520258.8</v>
      </c>
      <c r="M176" s="13">
        <f t="shared" si="29"/>
        <v>0</v>
      </c>
      <c r="N176" s="13">
        <f t="shared" si="29"/>
        <v>0</v>
      </c>
      <c r="O176" s="13">
        <f t="shared" si="29"/>
        <v>20093544541.5</v>
      </c>
      <c r="P176" s="14">
        <v>1999010805</v>
      </c>
      <c r="Q176" s="14">
        <v>5094122772.8239994</v>
      </c>
      <c r="R176" s="18">
        <v>7093133577.8239994</v>
      </c>
      <c r="S176" s="15"/>
      <c r="T176" s="15"/>
      <c r="U176" s="15"/>
      <c r="V176" s="100"/>
      <c r="W176" s="19"/>
    </row>
    <row r="177" spans="1:23" s="17" customFormat="1" ht="36" customHeight="1">
      <c r="A177" s="159" t="s">
        <v>231</v>
      </c>
      <c r="B177" s="159"/>
      <c r="C177" s="159"/>
      <c r="D177" s="159"/>
      <c r="E177" s="13">
        <f t="shared" ref="E177:O177" si="30">SUM(E178:E196)</f>
        <v>1407291141</v>
      </c>
      <c r="F177" s="13">
        <f t="shared" si="30"/>
        <v>5588049046</v>
      </c>
      <c r="G177" s="13">
        <f t="shared" si="30"/>
        <v>4751456498</v>
      </c>
      <c r="H177" s="13">
        <f t="shared" si="30"/>
        <v>4751456498</v>
      </c>
      <c r="I177" s="13">
        <f t="shared" si="30"/>
        <v>1576438072.3699999</v>
      </c>
      <c r="J177" s="13">
        <f t="shared" si="30"/>
        <v>906189218.80999994</v>
      </c>
      <c r="K177" s="13">
        <f t="shared" si="30"/>
        <v>1330880599.0799999</v>
      </c>
      <c r="L177" s="13">
        <v>1337520258.8</v>
      </c>
      <c r="M177" s="13">
        <f t="shared" si="30"/>
        <v>0</v>
      </c>
      <c r="N177" s="13">
        <f t="shared" si="30"/>
        <v>0</v>
      </c>
      <c r="O177" s="13">
        <f t="shared" si="30"/>
        <v>20093544541.5</v>
      </c>
      <c r="P177" s="14">
        <v>1999010805</v>
      </c>
      <c r="Q177" s="14">
        <v>5494122772.8240004</v>
      </c>
      <c r="R177" s="14">
        <v>7493133577.8240004</v>
      </c>
      <c r="S177" s="15"/>
      <c r="T177" s="15"/>
      <c r="U177" s="15"/>
      <c r="V177" s="100"/>
      <c r="W177" s="19"/>
    </row>
    <row r="178" spans="1:23" s="17" customFormat="1" ht="47.25" customHeight="1">
      <c r="A178" s="20">
        <v>155</v>
      </c>
      <c r="B178" s="142" t="s">
        <v>232</v>
      </c>
      <c r="C178" s="132" t="s">
        <v>233</v>
      </c>
      <c r="D178" s="132"/>
      <c r="E178" s="22">
        <v>70000000</v>
      </c>
      <c r="F178" s="22">
        <v>0</v>
      </c>
      <c r="G178" s="22"/>
      <c r="H178" s="22"/>
      <c r="I178" s="22">
        <v>905231619.44000006</v>
      </c>
      <c r="J178" s="22">
        <v>799565310.25</v>
      </c>
      <c r="K178" s="27">
        <v>676707001.20000005</v>
      </c>
      <c r="L178" s="13">
        <v>786501658.79999995</v>
      </c>
      <c r="M178" s="22"/>
      <c r="N178" s="22"/>
      <c r="O178" s="22">
        <f>112353484-11660000</f>
        <v>100693484</v>
      </c>
      <c r="P178" s="25"/>
      <c r="Q178" s="14">
        <v>0</v>
      </c>
      <c r="R178" s="18">
        <v>0</v>
      </c>
      <c r="S178" s="26"/>
      <c r="T178" s="26"/>
      <c r="U178" s="15"/>
      <c r="V178" s="109"/>
      <c r="W178" s="19"/>
    </row>
    <row r="179" spans="1:23" s="17" customFormat="1" ht="47.25" customHeight="1">
      <c r="A179" s="20">
        <v>156</v>
      </c>
      <c r="B179" s="143"/>
      <c r="C179" s="135" t="s">
        <v>234</v>
      </c>
      <c r="D179" s="136"/>
      <c r="E179" s="163">
        <v>0</v>
      </c>
      <c r="F179" s="164"/>
      <c r="G179" s="22"/>
      <c r="H179" s="22"/>
      <c r="I179" s="22">
        <v>465451770.08999997</v>
      </c>
      <c r="J179" s="22"/>
      <c r="K179" s="27">
        <v>465451770</v>
      </c>
      <c r="L179" s="13">
        <v>0</v>
      </c>
      <c r="M179" s="22"/>
      <c r="N179" s="22"/>
      <c r="O179" s="22"/>
      <c r="P179" s="25"/>
      <c r="Q179" s="14">
        <v>0</v>
      </c>
      <c r="R179" s="18">
        <v>0</v>
      </c>
      <c r="S179" s="26"/>
      <c r="T179" s="26"/>
      <c r="U179" s="15"/>
      <c r="V179" s="100"/>
      <c r="W179" s="19"/>
    </row>
    <row r="180" spans="1:23" s="17" customFormat="1" ht="44.25" customHeight="1">
      <c r="A180" s="20">
        <v>157</v>
      </c>
      <c r="B180" s="144"/>
      <c r="C180" s="135" t="s">
        <v>235</v>
      </c>
      <c r="D180" s="136"/>
      <c r="E180" s="22"/>
      <c r="F180" s="22">
        <v>0</v>
      </c>
      <c r="G180" s="22"/>
      <c r="H180" s="22"/>
      <c r="I180" s="22"/>
      <c r="J180" s="22"/>
      <c r="K180" s="22"/>
      <c r="L180" s="13">
        <v>220000000</v>
      </c>
      <c r="M180" s="22"/>
      <c r="N180" s="22"/>
      <c r="O180" s="22"/>
      <c r="P180" s="25"/>
      <c r="Q180" s="14">
        <v>0</v>
      </c>
      <c r="R180" s="18">
        <v>0</v>
      </c>
      <c r="S180" s="26"/>
      <c r="T180" s="26"/>
      <c r="U180" s="15"/>
      <c r="V180" s="109"/>
      <c r="W180" s="19"/>
    </row>
    <row r="181" spans="1:23" s="17" customFormat="1" ht="38.25" customHeight="1">
      <c r="A181" s="20">
        <v>158</v>
      </c>
      <c r="B181" s="21" t="s">
        <v>236</v>
      </c>
      <c r="C181" s="132" t="s">
        <v>237</v>
      </c>
      <c r="D181" s="132"/>
      <c r="E181" s="22">
        <v>30000000</v>
      </c>
      <c r="F181" s="22">
        <v>0</v>
      </c>
      <c r="G181" s="22"/>
      <c r="H181" s="22"/>
      <c r="I181" s="22">
        <v>205754682.84</v>
      </c>
      <c r="J181" s="22">
        <v>106623908.56</v>
      </c>
      <c r="K181" s="27">
        <v>188721827.88</v>
      </c>
      <c r="L181" s="13">
        <v>331018600</v>
      </c>
      <c r="M181" s="22"/>
      <c r="N181" s="22"/>
      <c r="O181" s="22">
        <f>4805622117+800-500000000</f>
        <v>4305622917</v>
      </c>
      <c r="P181" s="25"/>
      <c r="Q181" s="14">
        <v>0</v>
      </c>
      <c r="R181" s="18">
        <v>0</v>
      </c>
      <c r="S181" s="26"/>
      <c r="T181" s="26"/>
      <c r="U181" s="15"/>
      <c r="V181" s="109"/>
      <c r="W181" s="19"/>
    </row>
    <row r="182" spans="1:23" s="17" customFormat="1" ht="57.75" customHeight="1">
      <c r="A182" s="20">
        <v>159</v>
      </c>
      <c r="B182" s="21" t="s">
        <v>88</v>
      </c>
      <c r="C182" s="132" t="s">
        <v>238</v>
      </c>
      <c r="D182" s="132"/>
      <c r="E182" s="22">
        <v>180000000</v>
      </c>
      <c r="F182" s="22">
        <v>214000000</v>
      </c>
      <c r="G182" s="22">
        <v>0</v>
      </c>
      <c r="H182" s="22">
        <v>0</v>
      </c>
      <c r="I182" s="22"/>
      <c r="J182" s="22"/>
      <c r="K182" s="22"/>
      <c r="L182" s="13">
        <v>0</v>
      </c>
      <c r="M182" s="24"/>
      <c r="N182" s="24"/>
      <c r="O182" s="24">
        <v>62000000</v>
      </c>
      <c r="P182" s="25">
        <v>0</v>
      </c>
      <c r="Q182" s="14">
        <v>121600000</v>
      </c>
      <c r="R182" s="18">
        <v>121600000</v>
      </c>
      <c r="S182" s="34"/>
      <c r="T182" s="34"/>
      <c r="U182" s="15"/>
      <c r="V182" s="109"/>
      <c r="W182" s="19"/>
    </row>
    <row r="183" spans="1:23" s="17" customFormat="1" ht="53.25" customHeight="1">
      <c r="A183" s="20">
        <v>160</v>
      </c>
      <c r="B183" s="21" t="s">
        <v>88</v>
      </c>
      <c r="C183" s="132" t="s">
        <v>239</v>
      </c>
      <c r="D183" s="132"/>
      <c r="E183" s="22">
        <v>28000000</v>
      </c>
      <c r="F183" s="22">
        <v>0</v>
      </c>
      <c r="G183" s="22"/>
      <c r="H183" s="22"/>
      <c r="I183" s="22"/>
      <c r="J183" s="22"/>
      <c r="K183" s="22"/>
      <c r="L183" s="13">
        <v>0</v>
      </c>
      <c r="M183" s="24"/>
      <c r="N183" s="24"/>
      <c r="O183" s="24"/>
      <c r="P183" s="25">
        <v>0</v>
      </c>
      <c r="Q183" s="14">
        <v>76000000</v>
      </c>
      <c r="R183" s="18">
        <v>76000000</v>
      </c>
      <c r="S183" s="34"/>
      <c r="T183" s="34"/>
      <c r="U183" s="15"/>
      <c r="V183" s="109"/>
      <c r="W183" s="19"/>
    </row>
    <row r="184" spans="1:23" s="63" customFormat="1" ht="41.25" customHeight="1">
      <c r="A184" s="20">
        <v>161</v>
      </c>
      <c r="B184" s="161" t="s">
        <v>88</v>
      </c>
      <c r="C184" s="166" t="s">
        <v>240</v>
      </c>
      <c r="D184" s="166"/>
      <c r="E184" s="24"/>
      <c r="F184" s="24">
        <v>2913411900</v>
      </c>
      <c r="G184" s="24">
        <f>2913411900-500000000</f>
        <v>2413411900</v>
      </c>
      <c r="H184" s="24">
        <f>2913411900-500000000</f>
        <v>2413411900</v>
      </c>
      <c r="I184" s="24"/>
      <c r="J184" s="24"/>
      <c r="K184" s="24"/>
      <c r="L184" s="13">
        <v>0</v>
      </c>
      <c r="M184" s="24"/>
      <c r="N184" s="24"/>
      <c r="O184" s="24">
        <v>1093000000</v>
      </c>
      <c r="P184" s="25">
        <v>696000000</v>
      </c>
      <c r="Q184" s="14">
        <v>0</v>
      </c>
      <c r="R184" s="18">
        <v>696000000</v>
      </c>
      <c r="S184" s="34"/>
      <c r="T184" s="34"/>
      <c r="U184" s="15"/>
      <c r="V184" s="109"/>
      <c r="W184" s="19"/>
    </row>
    <row r="185" spans="1:23" s="17" customFormat="1" ht="52.5" customHeight="1">
      <c r="A185" s="20">
        <v>162</v>
      </c>
      <c r="B185" s="165"/>
      <c r="C185" s="135" t="s">
        <v>241</v>
      </c>
      <c r="D185" s="136"/>
      <c r="E185" s="22"/>
      <c r="F185" s="22">
        <v>0</v>
      </c>
      <c r="G185" s="22"/>
      <c r="H185" s="22"/>
      <c r="I185" s="22"/>
      <c r="J185" s="22"/>
      <c r="K185" s="22"/>
      <c r="L185" s="13">
        <v>0</v>
      </c>
      <c r="M185" s="22"/>
      <c r="N185" s="22"/>
      <c r="O185" s="24">
        <f>13600000000-2000000000-967772658</f>
        <v>10632227342</v>
      </c>
      <c r="P185" s="25"/>
      <c r="Q185" s="14">
        <v>0</v>
      </c>
      <c r="R185" s="18">
        <v>0</v>
      </c>
      <c r="S185" s="26"/>
      <c r="T185" s="26"/>
      <c r="U185" s="15"/>
      <c r="V185" s="109"/>
      <c r="W185" s="19"/>
    </row>
    <row r="186" spans="1:23" s="17" customFormat="1" ht="35.25" customHeight="1">
      <c r="A186" s="20">
        <v>163</v>
      </c>
      <c r="B186" s="162"/>
      <c r="C186" s="135" t="s">
        <v>242</v>
      </c>
      <c r="D186" s="136"/>
      <c r="E186" s="22"/>
      <c r="F186" s="22">
        <v>0</v>
      </c>
      <c r="G186" s="22"/>
      <c r="H186" s="22"/>
      <c r="I186" s="22"/>
      <c r="J186" s="22"/>
      <c r="K186" s="22"/>
      <c r="L186" s="13">
        <v>0</v>
      </c>
      <c r="M186" s="22"/>
      <c r="N186" s="22"/>
      <c r="O186" s="24"/>
      <c r="P186" s="25">
        <v>0</v>
      </c>
      <c r="Q186" s="14">
        <v>1360000000</v>
      </c>
      <c r="R186" s="18">
        <v>1360000000</v>
      </c>
      <c r="S186" s="34"/>
      <c r="T186" s="34"/>
      <c r="U186" s="15"/>
      <c r="V186" s="109"/>
      <c r="W186" s="19"/>
    </row>
    <row r="187" spans="1:23" s="17" customFormat="1" ht="48" customHeight="1">
      <c r="A187" s="20">
        <v>165</v>
      </c>
      <c r="B187" s="56" t="s">
        <v>88</v>
      </c>
      <c r="C187" s="135" t="s">
        <v>243</v>
      </c>
      <c r="D187" s="136"/>
      <c r="E187" s="22"/>
      <c r="F187" s="22">
        <v>100000000</v>
      </c>
      <c r="G187" s="22">
        <v>100000000</v>
      </c>
      <c r="H187" s="22">
        <v>100000000</v>
      </c>
      <c r="I187" s="22"/>
      <c r="J187" s="22"/>
      <c r="K187" s="22"/>
      <c r="L187" s="13">
        <v>0</v>
      </c>
      <c r="M187" s="22"/>
      <c r="N187" s="22"/>
      <c r="O187" s="24">
        <f>1910700000-250000000</f>
        <v>1660700000</v>
      </c>
      <c r="P187" s="25">
        <v>59689853</v>
      </c>
      <c r="Q187" s="14">
        <v>104248117.59999999</v>
      </c>
      <c r="R187" s="18">
        <v>163937970.59999999</v>
      </c>
      <c r="S187" s="34"/>
      <c r="T187" s="34"/>
      <c r="U187" s="15"/>
      <c r="V187" s="109"/>
      <c r="W187" s="19"/>
    </row>
    <row r="188" spans="1:23" s="17" customFormat="1" ht="58.5" customHeight="1">
      <c r="A188" s="20">
        <v>166</v>
      </c>
      <c r="B188" s="161" t="s">
        <v>88</v>
      </c>
      <c r="C188" s="132" t="s">
        <v>244</v>
      </c>
      <c r="D188" s="132"/>
      <c r="E188" s="24"/>
      <c r="F188" s="24">
        <v>1050600000</v>
      </c>
      <c r="G188" s="24">
        <f>1050600000-50000000</f>
        <v>1000600000</v>
      </c>
      <c r="H188" s="24">
        <f>1050600000-50000000</f>
        <v>1000600000</v>
      </c>
      <c r="I188" s="22"/>
      <c r="J188" s="22"/>
      <c r="K188" s="22"/>
      <c r="L188" s="13">
        <v>0</v>
      </c>
      <c r="M188" s="22"/>
      <c r="N188" s="22"/>
      <c r="O188" s="24">
        <f>1582334136.53</f>
        <v>1582334136.53</v>
      </c>
      <c r="P188" s="25">
        <v>848434911</v>
      </c>
      <c r="Q188" s="14">
        <v>2909269449.5999999</v>
      </c>
      <c r="R188" s="18">
        <v>3757704360.5999999</v>
      </c>
      <c r="S188" s="34"/>
      <c r="T188" s="34"/>
      <c r="U188" s="15"/>
      <c r="V188" s="114"/>
      <c r="W188" s="19"/>
    </row>
    <row r="189" spans="1:23" s="17" customFormat="1" ht="43.5" customHeight="1">
      <c r="A189" s="20">
        <v>167</v>
      </c>
      <c r="B189" s="162"/>
      <c r="C189" s="135" t="s">
        <v>245</v>
      </c>
      <c r="D189" s="136"/>
      <c r="E189" s="24"/>
      <c r="F189" s="24">
        <v>0</v>
      </c>
      <c r="G189" s="24"/>
      <c r="H189" s="24"/>
      <c r="I189" s="22"/>
      <c r="J189" s="22"/>
      <c r="K189" s="22"/>
      <c r="L189" s="13">
        <v>0</v>
      </c>
      <c r="M189" s="22"/>
      <c r="N189" s="22"/>
      <c r="O189" s="24"/>
      <c r="P189" s="25">
        <v>0</v>
      </c>
      <c r="Q189" s="14">
        <v>20000000</v>
      </c>
      <c r="R189" s="18">
        <v>20000000</v>
      </c>
      <c r="S189" s="34"/>
      <c r="T189" s="34"/>
      <c r="U189" s="15"/>
      <c r="V189" s="114"/>
      <c r="W189" s="19"/>
    </row>
    <row r="190" spans="1:23" s="17" customFormat="1" ht="47.25" customHeight="1">
      <c r="A190" s="20">
        <v>168</v>
      </c>
      <c r="B190" s="161" t="s">
        <v>88</v>
      </c>
      <c r="C190" s="135" t="s">
        <v>246</v>
      </c>
      <c r="D190" s="136"/>
      <c r="E190" s="24"/>
      <c r="F190" s="24">
        <v>0</v>
      </c>
      <c r="G190" s="24"/>
      <c r="H190" s="24"/>
      <c r="I190" s="22"/>
      <c r="J190" s="22"/>
      <c r="K190" s="22"/>
      <c r="L190" s="13">
        <v>0</v>
      </c>
      <c r="M190" s="22"/>
      <c r="N190" s="22"/>
      <c r="O190" s="24"/>
      <c r="P190" s="25">
        <v>0</v>
      </c>
      <c r="Q190" s="14">
        <v>111112000</v>
      </c>
      <c r="R190" s="18">
        <v>111112000</v>
      </c>
      <c r="S190" s="34"/>
      <c r="T190" s="34"/>
      <c r="U190" s="15"/>
      <c r="V190" s="114"/>
      <c r="W190" s="19"/>
    </row>
    <row r="191" spans="1:23" s="17" customFormat="1" ht="33.75" customHeight="1">
      <c r="A191" s="20">
        <v>169</v>
      </c>
      <c r="B191" s="162"/>
      <c r="C191" s="135" t="s">
        <v>247</v>
      </c>
      <c r="D191" s="136"/>
      <c r="E191" s="24"/>
      <c r="F191" s="24"/>
      <c r="G191" s="24"/>
      <c r="H191" s="24"/>
      <c r="I191" s="22"/>
      <c r="J191" s="22"/>
      <c r="K191" s="22"/>
      <c r="L191" s="13">
        <v>0</v>
      </c>
      <c r="M191" s="22"/>
      <c r="N191" s="22"/>
      <c r="O191" s="24"/>
      <c r="P191" s="25">
        <v>0</v>
      </c>
      <c r="Q191" s="14">
        <v>9328000</v>
      </c>
      <c r="R191" s="18">
        <v>9328000</v>
      </c>
      <c r="S191" s="34"/>
      <c r="T191" s="34"/>
      <c r="U191" s="15"/>
      <c r="V191" s="114"/>
      <c r="W191" s="19"/>
    </row>
    <row r="192" spans="1:23" s="17" customFormat="1" ht="46.5" customHeight="1">
      <c r="A192" s="20">
        <v>170</v>
      </c>
      <c r="B192" s="56" t="s">
        <v>88</v>
      </c>
      <c r="C192" s="132" t="s">
        <v>248</v>
      </c>
      <c r="D192" s="132"/>
      <c r="E192" s="22"/>
      <c r="F192" s="22">
        <v>800000000</v>
      </c>
      <c r="G192" s="22">
        <v>800000000</v>
      </c>
      <c r="H192" s="22">
        <v>800000000</v>
      </c>
      <c r="I192" s="22"/>
      <c r="J192" s="22"/>
      <c r="K192" s="22"/>
      <c r="L192" s="13">
        <v>0</v>
      </c>
      <c r="M192" s="22"/>
      <c r="N192" s="22"/>
      <c r="O192" s="22"/>
      <c r="P192" s="25"/>
      <c r="Q192" s="14">
        <v>0</v>
      </c>
      <c r="R192" s="18">
        <v>0</v>
      </c>
      <c r="S192" s="34"/>
      <c r="T192" s="34"/>
      <c r="U192" s="15"/>
      <c r="V192" s="114"/>
      <c r="W192" s="19"/>
    </row>
    <row r="193" spans="1:23" s="17" customFormat="1" ht="54" customHeight="1">
      <c r="A193" s="20">
        <v>171</v>
      </c>
      <c r="B193" s="133" t="s">
        <v>88</v>
      </c>
      <c r="C193" s="132" t="s">
        <v>249</v>
      </c>
      <c r="D193" s="132"/>
      <c r="E193" s="22">
        <v>812407664</v>
      </c>
      <c r="F193" s="22">
        <v>510037146</v>
      </c>
      <c r="G193" s="22">
        <f>487444598-50000000</f>
        <v>437444598</v>
      </c>
      <c r="H193" s="22">
        <f>487444598-50000000</f>
        <v>437444598</v>
      </c>
      <c r="I193" s="22"/>
      <c r="J193" s="22"/>
      <c r="K193" s="22"/>
      <c r="L193" s="13">
        <v>0</v>
      </c>
      <c r="M193" s="22"/>
      <c r="N193" s="22"/>
      <c r="O193" s="24"/>
      <c r="P193" s="25">
        <v>317146041</v>
      </c>
      <c r="Q193" s="14">
        <v>15357205.6</v>
      </c>
      <c r="R193" s="18">
        <v>332503246.60000002</v>
      </c>
      <c r="S193" s="34"/>
      <c r="T193" s="34"/>
      <c r="U193" s="15"/>
      <c r="V193" s="109"/>
      <c r="W193" s="19"/>
    </row>
    <row r="194" spans="1:23" s="17" customFormat="1" ht="47.25" customHeight="1">
      <c r="A194" s="20">
        <v>172</v>
      </c>
      <c r="B194" s="134"/>
      <c r="C194" s="132" t="s">
        <v>250</v>
      </c>
      <c r="D194" s="132"/>
      <c r="E194" s="22">
        <v>206783477</v>
      </c>
      <c r="F194" s="22">
        <v>0</v>
      </c>
      <c r="G194" s="22"/>
      <c r="H194" s="22"/>
      <c r="I194" s="22"/>
      <c r="J194" s="22"/>
      <c r="K194" s="22"/>
      <c r="L194" s="13">
        <v>0</v>
      </c>
      <c r="M194" s="22"/>
      <c r="N194" s="22"/>
      <c r="O194" s="24"/>
      <c r="P194" s="25"/>
      <c r="Q194" s="14">
        <v>0</v>
      </c>
      <c r="R194" s="18">
        <v>0</v>
      </c>
      <c r="S194" s="26"/>
      <c r="T194" s="26"/>
      <c r="U194" s="15"/>
      <c r="V194" s="100"/>
      <c r="W194" s="19"/>
    </row>
    <row r="195" spans="1:23" s="17" customFormat="1" ht="41.25" customHeight="1">
      <c r="A195" s="20">
        <v>173</v>
      </c>
      <c r="B195" s="21" t="s">
        <v>88</v>
      </c>
      <c r="C195" s="135" t="s">
        <v>251</v>
      </c>
      <c r="D195" s="136"/>
      <c r="E195" s="22">
        <v>80000000</v>
      </c>
      <c r="F195" s="22">
        <v>0</v>
      </c>
      <c r="G195" s="22"/>
      <c r="H195" s="22"/>
      <c r="I195" s="22"/>
      <c r="J195" s="22"/>
      <c r="K195" s="22"/>
      <c r="L195" s="13">
        <v>0</v>
      </c>
      <c r="M195" s="22"/>
      <c r="N195" s="22"/>
      <c r="O195" s="24">
        <v>656966661.97000003</v>
      </c>
      <c r="P195" s="25">
        <v>52740000</v>
      </c>
      <c r="Q195" s="14">
        <v>593208000.02399993</v>
      </c>
      <c r="R195" s="18">
        <v>645948000.02399993</v>
      </c>
      <c r="S195" s="34"/>
      <c r="T195" s="34"/>
      <c r="U195" s="15"/>
      <c r="V195" s="109"/>
      <c r="W195" s="19"/>
    </row>
    <row r="196" spans="1:23" s="17" customFormat="1" ht="39.75" customHeight="1">
      <c r="A196" s="20">
        <v>174</v>
      </c>
      <c r="B196" s="20" t="s">
        <v>252</v>
      </c>
      <c r="C196" s="135" t="s">
        <v>253</v>
      </c>
      <c r="D196" s="136"/>
      <c r="E196" s="22">
        <v>100000</v>
      </c>
      <c r="F196" s="22">
        <v>0</v>
      </c>
      <c r="G196" s="22"/>
      <c r="H196" s="22"/>
      <c r="I196" s="22"/>
      <c r="J196" s="22"/>
      <c r="K196" s="22"/>
      <c r="L196" s="13">
        <v>0</v>
      </c>
      <c r="M196" s="22"/>
      <c r="N196" s="22"/>
      <c r="O196" s="24"/>
      <c r="P196" s="25">
        <v>25000000</v>
      </c>
      <c r="Q196" s="14">
        <v>174000000</v>
      </c>
      <c r="R196" s="18">
        <v>199000000</v>
      </c>
      <c r="S196" s="34"/>
      <c r="T196" s="34"/>
      <c r="U196" s="15"/>
      <c r="V196" s="109"/>
      <c r="W196" s="19"/>
    </row>
    <row r="197" spans="1:23" s="17" customFormat="1" ht="37.5" customHeight="1">
      <c r="A197" s="129" t="s">
        <v>254</v>
      </c>
      <c r="B197" s="130"/>
      <c r="C197" s="130"/>
      <c r="D197" s="131"/>
      <c r="E197" s="13">
        <f t="shared" ref="E197:O197" si="31">SUM(E198,E202,E207,E218)</f>
        <v>11894909250</v>
      </c>
      <c r="F197" s="13">
        <f t="shared" si="31"/>
        <v>662095183</v>
      </c>
      <c r="G197" s="13">
        <f t="shared" si="31"/>
        <v>620111442</v>
      </c>
      <c r="H197" s="13">
        <f t="shared" si="31"/>
        <v>620111442</v>
      </c>
      <c r="I197" s="13">
        <f t="shared" si="31"/>
        <v>1827031911.9299998</v>
      </c>
      <c r="J197" s="13">
        <f t="shared" si="31"/>
        <v>338957145.88</v>
      </c>
      <c r="K197" s="13">
        <f t="shared" si="31"/>
        <v>1513322739.98</v>
      </c>
      <c r="L197" s="13">
        <v>416956416.78899997</v>
      </c>
      <c r="M197" s="13">
        <f>SUM(M198,M202,M207,M218)</f>
        <v>7406049836</v>
      </c>
      <c r="N197" s="13">
        <f>SUM(N198,N202,N207,N218)</f>
        <v>7406049836</v>
      </c>
      <c r="O197" s="13">
        <f t="shared" si="31"/>
        <v>38314038087.300003</v>
      </c>
      <c r="P197" s="14">
        <v>44368209</v>
      </c>
      <c r="Q197" s="14">
        <v>323691865.15200007</v>
      </c>
      <c r="R197" s="14">
        <v>368060074.15200007</v>
      </c>
      <c r="S197" s="15"/>
      <c r="T197" s="15"/>
      <c r="U197" s="15"/>
      <c r="V197" s="100"/>
      <c r="W197" s="19"/>
    </row>
    <row r="198" spans="1:23" s="17" customFormat="1" ht="30" customHeight="1">
      <c r="A198" s="139" t="s">
        <v>255</v>
      </c>
      <c r="B198" s="140"/>
      <c r="C198" s="140"/>
      <c r="D198" s="141"/>
      <c r="E198" s="13">
        <f>SUM(E199:E201)</f>
        <v>138834250</v>
      </c>
      <c r="F198" s="13">
        <f t="shared" ref="F198" si="32">SUM(F199:F200)</f>
        <v>0</v>
      </c>
      <c r="G198" s="13">
        <f t="shared" ref="G198:O198" si="33">SUM(G199:G201)</f>
        <v>0</v>
      </c>
      <c r="H198" s="13">
        <f t="shared" si="33"/>
        <v>0</v>
      </c>
      <c r="I198" s="13">
        <f t="shared" si="33"/>
        <v>219851953.56</v>
      </c>
      <c r="J198" s="13">
        <f t="shared" si="33"/>
        <v>0</v>
      </c>
      <c r="K198" s="13">
        <f t="shared" si="33"/>
        <v>218716192.16000003</v>
      </c>
      <c r="L198" s="13">
        <v>36465000</v>
      </c>
      <c r="M198" s="13">
        <f t="shared" si="33"/>
        <v>2223882087</v>
      </c>
      <c r="N198" s="13">
        <f t="shared" si="33"/>
        <v>2223882087</v>
      </c>
      <c r="O198" s="13">
        <f t="shared" si="33"/>
        <v>28410000000</v>
      </c>
      <c r="P198" s="14">
        <v>0</v>
      </c>
      <c r="Q198" s="14">
        <v>99100800</v>
      </c>
      <c r="R198" s="14">
        <v>99100800</v>
      </c>
      <c r="S198" s="15"/>
      <c r="T198" s="15"/>
      <c r="U198" s="15"/>
      <c r="V198" s="100"/>
      <c r="W198" s="19"/>
    </row>
    <row r="199" spans="1:23" s="17" customFormat="1" ht="33.75" customHeight="1">
      <c r="A199" s="20">
        <v>175</v>
      </c>
      <c r="B199" s="21" t="s">
        <v>256</v>
      </c>
      <c r="C199" s="132" t="s">
        <v>257</v>
      </c>
      <c r="D199" s="132"/>
      <c r="E199" s="22">
        <v>138834250</v>
      </c>
      <c r="F199" s="22">
        <v>0</v>
      </c>
      <c r="G199" s="22"/>
      <c r="H199" s="22"/>
      <c r="I199" s="22">
        <v>219851953.56</v>
      </c>
      <c r="J199" s="22"/>
      <c r="K199" s="27">
        <v>200063702.24000001</v>
      </c>
      <c r="L199" s="13">
        <v>36465000</v>
      </c>
      <c r="M199" s="24"/>
      <c r="N199" s="22">
        <v>2223882087</v>
      </c>
      <c r="O199" s="22">
        <f>30436599283-17840000-18876000-9883283-2000000000</f>
        <v>28390000000</v>
      </c>
      <c r="P199" s="25"/>
      <c r="Q199" s="14">
        <v>0</v>
      </c>
      <c r="R199" s="18">
        <v>0</v>
      </c>
      <c r="S199" s="26"/>
      <c r="T199" s="26"/>
      <c r="U199" s="15"/>
      <c r="V199" s="115"/>
      <c r="W199" s="19"/>
    </row>
    <row r="200" spans="1:23" s="17" customFormat="1" ht="37.5" customHeight="1">
      <c r="A200" s="20">
        <v>176</v>
      </c>
      <c r="B200" s="167" t="s">
        <v>88</v>
      </c>
      <c r="C200" s="136" t="s">
        <v>258</v>
      </c>
      <c r="D200" s="132"/>
      <c r="E200" s="22"/>
      <c r="F200" s="22"/>
      <c r="G200" s="22"/>
      <c r="H200" s="22"/>
      <c r="I200" s="22"/>
      <c r="J200" s="22"/>
      <c r="K200" s="22"/>
      <c r="L200" s="13">
        <v>0</v>
      </c>
      <c r="M200" s="22">
        <v>2223882087</v>
      </c>
      <c r="N200" s="24">
        <v>0</v>
      </c>
      <c r="O200" s="22">
        <v>20000000</v>
      </c>
      <c r="P200" s="25">
        <v>0</v>
      </c>
      <c r="Q200" s="14">
        <v>99100800</v>
      </c>
      <c r="R200" s="18">
        <v>99100800</v>
      </c>
      <c r="S200" s="34"/>
      <c r="T200" s="34"/>
      <c r="U200" s="15"/>
      <c r="V200" s="116"/>
      <c r="W200" s="19"/>
    </row>
    <row r="201" spans="1:23" s="17" customFormat="1" ht="48.75" customHeight="1">
      <c r="A201" s="20">
        <v>177</v>
      </c>
      <c r="B201" s="167"/>
      <c r="C201" s="145" t="s">
        <v>259</v>
      </c>
      <c r="D201" s="146"/>
      <c r="E201" s="22"/>
      <c r="F201" s="22"/>
      <c r="G201" s="22"/>
      <c r="H201" s="22"/>
      <c r="I201" s="22"/>
      <c r="J201" s="22"/>
      <c r="K201" s="27">
        <v>18652489.920000002</v>
      </c>
      <c r="L201" s="13">
        <v>0</v>
      </c>
      <c r="M201" s="22"/>
      <c r="N201" s="24"/>
      <c r="O201" s="22"/>
      <c r="P201" s="25"/>
      <c r="Q201" s="14">
        <v>0</v>
      </c>
      <c r="R201" s="18">
        <v>0</v>
      </c>
      <c r="S201" s="34"/>
      <c r="T201" s="34"/>
      <c r="U201" s="15"/>
      <c r="V201" s="116"/>
      <c r="W201" s="19"/>
    </row>
    <row r="202" spans="1:23" s="17" customFormat="1" ht="33" customHeight="1">
      <c r="A202" s="139" t="s">
        <v>260</v>
      </c>
      <c r="B202" s="140"/>
      <c r="C202" s="140"/>
      <c r="D202" s="141"/>
      <c r="E202" s="13">
        <f t="shared" ref="E202:O202" si="34">SUM(E203:E206)</f>
        <v>9701000000</v>
      </c>
      <c r="F202" s="13">
        <f t="shared" si="34"/>
        <v>406537241</v>
      </c>
      <c r="G202" s="13">
        <f t="shared" si="34"/>
        <v>356537241</v>
      </c>
      <c r="H202" s="13">
        <f t="shared" si="34"/>
        <v>356537241</v>
      </c>
      <c r="I202" s="13">
        <f t="shared" si="34"/>
        <v>496384609.21999997</v>
      </c>
      <c r="J202" s="13">
        <f t="shared" si="34"/>
        <v>262439881.88</v>
      </c>
      <c r="K202" s="13">
        <f t="shared" si="34"/>
        <v>497139426.71999997</v>
      </c>
      <c r="L202" s="13">
        <v>217130416.78899997</v>
      </c>
      <c r="M202" s="13">
        <f t="shared" si="34"/>
        <v>1000000000</v>
      </c>
      <c r="N202" s="13">
        <f t="shared" si="34"/>
        <v>1000000000</v>
      </c>
      <c r="O202" s="13">
        <f t="shared" si="34"/>
        <v>4421733639</v>
      </c>
      <c r="P202" s="14">
        <v>0</v>
      </c>
      <c r="Q202" s="14">
        <v>0</v>
      </c>
      <c r="R202" s="14">
        <v>0</v>
      </c>
      <c r="S202" s="15"/>
      <c r="T202" s="15"/>
      <c r="U202" s="15"/>
      <c r="V202" s="100"/>
      <c r="W202" s="19"/>
    </row>
    <row r="203" spans="1:23" s="17" customFormat="1" ht="32.25" customHeight="1">
      <c r="A203" s="20">
        <v>178</v>
      </c>
      <c r="B203" s="21" t="s">
        <v>261</v>
      </c>
      <c r="C203" s="132" t="s">
        <v>262</v>
      </c>
      <c r="D203" s="132"/>
      <c r="E203" s="22">
        <f>10301000000-1000000000</f>
        <v>9301000000</v>
      </c>
      <c r="F203" s="22">
        <v>0</v>
      </c>
      <c r="G203" s="22"/>
      <c r="H203" s="22"/>
      <c r="I203" s="22">
        <v>344883126</v>
      </c>
      <c r="J203" s="22">
        <v>175906913.69</v>
      </c>
      <c r="K203" s="27">
        <v>320842942.56</v>
      </c>
      <c r="L203" s="13">
        <v>126500000</v>
      </c>
      <c r="M203" s="24">
        <v>1000000000</v>
      </c>
      <c r="N203" s="24">
        <v>1000000000</v>
      </c>
      <c r="O203" s="22">
        <f>4826148817-500000000</f>
        <v>4326148817</v>
      </c>
      <c r="P203" s="25"/>
      <c r="Q203" s="14">
        <v>0</v>
      </c>
      <c r="R203" s="18">
        <v>0</v>
      </c>
      <c r="S203" s="26"/>
      <c r="T203" s="26"/>
      <c r="U203" s="15"/>
      <c r="V203" s="117"/>
      <c r="W203" s="19"/>
    </row>
    <row r="204" spans="1:23" s="17" customFormat="1" ht="30.75" customHeight="1">
      <c r="A204" s="20">
        <v>179</v>
      </c>
      <c r="B204" s="20" t="s">
        <v>263</v>
      </c>
      <c r="C204" s="132" t="s">
        <v>264</v>
      </c>
      <c r="D204" s="132"/>
      <c r="E204" s="22"/>
      <c r="F204" s="22">
        <v>0</v>
      </c>
      <c r="G204" s="22"/>
      <c r="H204" s="22"/>
      <c r="I204" s="22">
        <v>29116893.899999999</v>
      </c>
      <c r="J204" s="22">
        <v>12166182.640000001</v>
      </c>
      <c r="K204" s="27">
        <v>24490307.52</v>
      </c>
      <c r="L204" s="13">
        <v>11578953.089</v>
      </c>
      <c r="M204" s="22"/>
      <c r="N204" s="22"/>
      <c r="O204" s="22"/>
      <c r="P204" s="24"/>
      <c r="Q204" s="14">
        <v>0</v>
      </c>
      <c r="R204" s="18">
        <v>0</v>
      </c>
      <c r="S204" s="64"/>
      <c r="T204" s="64"/>
      <c r="U204" s="15"/>
      <c r="V204" s="117"/>
      <c r="W204" s="19"/>
    </row>
    <row r="205" spans="1:23" s="17" customFormat="1" ht="42.75" customHeight="1">
      <c r="A205" s="20">
        <v>180</v>
      </c>
      <c r="B205" s="133" t="s">
        <v>265</v>
      </c>
      <c r="C205" s="132" t="s">
        <v>266</v>
      </c>
      <c r="D205" s="132"/>
      <c r="E205" s="22">
        <v>400000000</v>
      </c>
      <c r="F205" s="22">
        <v>406537241</v>
      </c>
      <c r="G205" s="22">
        <f>406537241-50000000</f>
        <v>356537241</v>
      </c>
      <c r="H205" s="22">
        <f>406537241-50000000</f>
        <v>356537241</v>
      </c>
      <c r="I205" s="22">
        <v>122384589.31999999</v>
      </c>
      <c r="J205" s="22">
        <v>74366785.549999997</v>
      </c>
      <c r="K205" s="27">
        <v>151806176.63999999</v>
      </c>
      <c r="L205" s="13">
        <v>79051463.699999988</v>
      </c>
      <c r="M205" s="24"/>
      <c r="N205" s="24"/>
      <c r="O205" s="22">
        <v>95584822</v>
      </c>
      <c r="P205" s="25"/>
      <c r="Q205" s="14">
        <v>0</v>
      </c>
      <c r="R205" s="18">
        <v>0</v>
      </c>
      <c r="S205" s="26"/>
      <c r="T205" s="26"/>
      <c r="U205" s="15"/>
      <c r="V205" s="117"/>
      <c r="W205" s="19"/>
    </row>
    <row r="206" spans="1:23" s="17" customFormat="1" ht="42.75" customHeight="1">
      <c r="A206" s="20">
        <v>181</v>
      </c>
      <c r="B206" s="134"/>
      <c r="C206" s="132" t="s">
        <v>267</v>
      </c>
      <c r="D206" s="132"/>
      <c r="E206" s="22"/>
      <c r="F206" s="22">
        <v>0</v>
      </c>
      <c r="G206" s="22"/>
      <c r="H206" s="22"/>
      <c r="I206" s="22"/>
      <c r="J206" s="22"/>
      <c r="K206" s="22"/>
      <c r="L206" s="13">
        <v>0</v>
      </c>
      <c r="M206" s="22"/>
      <c r="N206" s="22"/>
      <c r="O206" s="22"/>
      <c r="P206" s="25"/>
      <c r="Q206" s="14">
        <v>0</v>
      </c>
      <c r="R206" s="18">
        <v>0</v>
      </c>
      <c r="S206" s="26"/>
      <c r="T206" s="26"/>
      <c r="U206" s="15"/>
      <c r="V206" s="117"/>
      <c r="W206" s="19"/>
    </row>
    <row r="207" spans="1:23" s="17" customFormat="1" ht="38.25" customHeight="1">
      <c r="A207" s="129" t="s">
        <v>268</v>
      </c>
      <c r="B207" s="130"/>
      <c r="C207" s="130"/>
      <c r="D207" s="131"/>
      <c r="E207" s="13">
        <f t="shared" ref="E207:O207" si="35">SUM(E208:E217)</f>
        <v>2041040000</v>
      </c>
      <c r="F207" s="13">
        <f t="shared" si="35"/>
        <v>255557942</v>
      </c>
      <c r="G207" s="13">
        <f t="shared" si="35"/>
        <v>263574201</v>
      </c>
      <c r="H207" s="13">
        <f t="shared" ref="H207" si="36">SUM(H208:H217)</f>
        <v>263574201</v>
      </c>
      <c r="I207" s="13">
        <f t="shared" si="35"/>
        <v>940705646.54999995</v>
      </c>
      <c r="J207" s="13">
        <f t="shared" si="35"/>
        <v>0</v>
      </c>
      <c r="K207" s="13">
        <f t="shared" ref="K207" si="37">SUM(K208:K217)</f>
        <v>572601532.5</v>
      </c>
      <c r="L207" s="13">
        <v>58586000</v>
      </c>
      <c r="M207" s="13">
        <f t="shared" si="35"/>
        <v>4182167749</v>
      </c>
      <c r="N207" s="13">
        <f t="shared" ref="N207" si="38">SUM(N208:N217)</f>
        <v>4182167749</v>
      </c>
      <c r="O207" s="13">
        <f t="shared" si="35"/>
        <v>3479542357.3000002</v>
      </c>
      <c r="P207" s="14">
        <v>44368209</v>
      </c>
      <c r="Q207" s="14">
        <v>188052479.55200002</v>
      </c>
      <c r="R207" s="14">
        <v>232420688.55200002</v>
      </c>
      <c r="S207" s="15"/>
      <c r="T207" s="15"/>
      <c r="U207" s="15"/>
      <c r="V207" s="100"/>
      <c r="W207" s="19"/>
    </row>
    <row r="208" spans="1:23" s="17" customFormat="1" ht="51" customHeight="1">
      <c r="A208" s="20">
        <v>182</v>
      </c>
      <c r="B208" s="133" t="s">
        <v>269</v>
      </c>
      <c r="C208" s="132" t="s">
        <v>270</v>
      </c>
      <c r="D208" s="132"/>
      <c r="E208" s="24">
        <v>66000000</v>
      </c>
      <c r="F208" s="24">
        <v>0</v>
      </c>
      <c r="G208" s="24"/>
      <c r="H208" s="24"/>
      <c r="I208" s="24">
        <v>940705646.54999995</v>
      </c>
      <c r="J208" s="24"/>
      <c r="K208" s="27">
        <v>572601532.5</v>
      </c>
      <c r="L208" s="13">
        <v>58586000</v>
      </c>
      <c r="M208" s="24">
        <v>1000000000</v>
      </c>
      <c r="N208" s="24">
        <v>1000000000</v>
      </c>
      <c r="O208" s="22">
        <v>274746912</v>
      </c>
      <c r="P208" s="25"/>
      <c r="Q208" s="14">
        <v>0</v>
      </c>
      <c r="R208" s="18">
        <v>0</v>
      </c>
      <c r="S208" s="26"/>
      <c r="T208" s="26"/>
      <c r="U208" s="15"/>
      <c r="V208" s="118"/>
      <c r="W208" s="19"/>
    </row>
    <row r="209" spans="1:23" s="17" customFormat="1" ht="36.75" customHeight="1">
      <c r="A209" s="20">
        <v>183</v>
      </c>
      <c r="B209" s="156"/>
      <c r="C209" s="135" t="s">
        <v>271</v>
      </c>
      <c r="D209" s="136"/>
      <c r="E209" s="24"/>
      <c r="F209" s="24">
        <v>0</v>
      </c>
      <c r="G209" s="24"/>
      <c r="H209" s="24"/>
      <c r="I209" s="24"/>
      <c r="J209" s="24"/>
      <c r="K209" s="24"/>
      <c r="L209" s="13">
        <v>0</v>
      </c>
      <c r="M209" s="24"/>
      <c r="N209" s="24"/>
      <c r="O209" s="22">
        <v>600963586</v>
      </c>
      <c r="P209" s="25"/>
      <c r="Q209" s="14">
        <v>0</v>
      </c>
      <c r="R209" s="18">
        <v>0</v>
      </c>
      <c r="S209" s="26"/>
      <c r="T209" s="26"/>
      <c r="U209" s="15"/>
      <c r="V209" s="118"/>
      <c r="W209" s="19"/>
    </row>
    <row r="210" spans="1:23" s="17" customFormat="1" ht="42.75" customHeight="1">
      <c r="A210" s="20">
        <v>184</v>
      </c>
      <c r="B210" s="156"/>
      <c r="C210" s="135" t="s">
        <v>272</v>
      </c>
      <c r="D210" s="136"/>
      <c r="E210" s="24"/>
      <c r="F210" s="24">
        <v>0</v>
      </c>
      <c r="G210" s="24"/>
      <c r="H210" s="24"/>
      <c r="I210" s="24"/>
      <c r="J210" s="24"/>
      <c r="K210" s="24"/>
      <c r="L210" s="13">
        <v>0</v>
      </c>
      <c r="M210" s="24"/>
      <c r="N210" s="24"/>
      <c r="O210" s="22">
        <f>1230372736-200000000</f>
        <v>1030372736</v>
      </c>
      <c r="P210" s="25"/>
      <c r="Q210" s="14">
        <v>0</v>
      </c>
      <c r="R210" s="18">
        <v>0</v>
      </c>
      <c r="S210" s="26"/>
      <c r="T210" s="26"/>
      <c r="U210" s="15"/>
      <c r="V210" s="118"/>
      <c r="W210" s="19"/>
    </row>
    <row r="211" spans="1:23" s="17" customFormat="1" ht="39" customHeight="1">
      <c r="A211" s="20">
        <v>185</v>
      </c>
      <c r="B211" s="134"/>
      <c r="C211" s="135" t="s">
        <v>273</v>
      </c>
      <c r="D211" s="136"/>
      <c r="E211" s="24"/>
      <c r="F211" s="24">
        <v>0</v>
      </c>
      <c r="G211" s="24"/>
      <c r="H211" s="24"/>
      <c r="I211" s="24"/>
      <c r="J211" s="24"/>
      <c r="K211" s="24"/>
      <c r="L211" s="13">
        <v>0</v>
      </c>
      <c r="M211" s="24"/>
      <c r="N211" s="24"/>
      <c r="O211" s="22">
        <f>1888158237-500000000</f>
        <v>1388158237</v>
      </c>
      <c r="P211" s="25"/>
      <c r="Q211" s="14">
        <v>0</v>
      </c>
      <c r="R211" s="18">
        <v>0</v>
      </c>
      <c r="S211" s="26"/>
      <c r="T211" s="26"/>
      <c r="U211" s="15"/>
      <c r="V211" s="118"/>
      <c r="W211" s="19"/>
    </row>
    <row r="212" spans="1:23" s="17" customFormat="1" ht="42" customHeight="1">
      <c r="A212" s="20">
        <v>186</v>
      </c>
      <c r="B212" s="21" t="s">
        <v>88</v>
      </c>
      <c r="C212" s="132" t="s">
        <v>274</v>
      </c>
      <c r="D212" s="132"/>
      <c r="E212" s="24">
        <v>1500000000</v>
      </c>
      <c r="F212" s="24">
        <v>0</v>
      </c>
      <c r="G212" s="24"/>
      <c r="H212" s="24"/>
      <c r="I212" s="24"/>
      <c r="J212" s="24"/>
      <c r="K212" s="24"/>
      <c r="L212" s="13">
        <v>0</v>
      </c>
      <c r="M212" s="24"/>
      <c r="N212" s="24"/>
      <c r="O212" s="22">
        <v>22000000</v>
      </c>
      <c r="P212" s="25">
        <v>0</v>
      </c>
      <c r="Q212" s="14">
        <v>68152530.752000004</v>
      </c>
      <c r="R212" s="18">
        <v>68152530.752000004</v>
      </c>
      <c r="S212" s="34"/>
      <c r="T212" s="34"/>
      <c r="U212" s="15"/>
      <c r="V212" s="119"/>
      <c r="W212" s="19"/>
    </row>
    <row r="213" spans="1:23" s="17" customFormat="1" ht="42.75" customHeight="1">
      <c r="A213" s="20">
        <v>187</v>
      </c>
      <c r="B213" s="21" t="s">
        <v>88</v>
      </c>
      <c r="C213" s="132" t="s">
        <v>275</v>
      </c>
      <c r="D213" s="132"/>
      <c r="E213" s="24">
        <v>44040000</v>
      </c>
      <c r="F213" s="24">
        <v>0</v>
      </c>
      <c r="G213" s="24"/>
      <c r="H213" s="24"/>
      <c r="I213" s="24"/>
      <c r="J213" s="24"/>
      <c r="K213" s="24"/>
      <c r="L213" s="13">
        <v>0</v>
      </c>
      <c r="M213" s="24"/>
      <c r="N213" s="24"/>
      <c r="O213" s="22">
        <v>15000000</v>
      </c>
      <c r="P213" s="25">
        <v>0</v>
      </c>
      <c r="Q213" s="14">
        <v>52784003.200000003</v>
      </c>
      <c r="R213" s="18">
        <v>52784003.200000003</v>
      </c>
      <c r="S213" s="34"/>
      <c r="T213" s="34"/>
      <c r="U213" s="15"/>
      <c r="V213" s="119"/>
      <c r="W213" s="19"/>
    </row>
    <row r="214" spans="1:23" s="17" customFormat="1" ht="58.5" customHeight="1">
      <c r="A214" s="20">
        <v>188</v>
      </c>
      <c r="B214" s="21" t="s">
        <v>88</v>
      </c>
      <c r="C214" s="132" t="s">
        <v>276</v>
      </c>
      <c r="D214" s="132"/>
      <c r="E214" s="22">
        <v>431000000</v>
      </c>
      <c r="F214" s="22">
        <v>0</v>
      </c>
      <c r="G214" s="22"/>
      <c r="H214" s="22"/>
      <c r="I214" s="22"/>
      <c r="J214" s="22"/>
      <c r="K214" s="22"/>
      <c r="L214" s="13">
        <v>0</v>
      </c>
      <c r="M214" s="24"/>
      <c r="N214" s="24"/>
      <c r="O214" s="24"/>
      <c r="P214" s="25">
        <v>24368209</v>
      </c>
      <c r="Q214" s="14">
        <v>12419124</v>
      </c>
      <c r="R214" s="18">
        <v>36787333</v>
      </c>
      <c r="S214" s="34"/>
      <c r="T214" s="34"/>
      <c r="U214" s="15"/>
      <c r="V214" s="118"/>
      <c r="W214" s="19"/>
    </row>
    <row r="215" spans="1:23" s="17" customFormat="1" ht="48" customHeight="1">
      <c r="A215" s="20">
        <v>189</v>
      </c>
      <c r="B215" s="21" t="s">
        <v>88</v>
      </c>
      <c r="C215" s="132" t="s">
        <v>277</v>
      </c>
      <c r="D215" s="132"/>
      <c r="E215" s="22"/>
      <c r="F215" s="22">
        <v>219850377</v>
      </c>
      <c r="G215" s="22">
        <f>253574201-50000000</f>
        <v>203574201</v>
      </c>
      <c r="H215" s="22">
        <f>253574201-50000000</f>
        <v>203574201</v>
      </c>
      <c r="I215" s="22"/>
      <c r="J215" s="22"/>
      <c r="K215" s="22"/>
      <c r="L215" s="13">
        <v>0</v>
      </c>
      <c r="M215" s="22">
        <v>3182167749</v>
      </c>
      <c r="N215" s="22">
        <v>3182167749</v>
      </c>
      <c r="O215" s="22">
        <v>130931121.3</v>
      </c>
      <c r="P215" s="25">
        <v>0</v>
      </c>
      <c r="Q215" s="14">
        <v>35755368</v>
      </c>
      <c r="R215" s="18">
        <v>35755368</v>
      </c>
      <c r="S215" s="34"/>
      <c r="T215" s="34"/>
      <c r="U215" s="15"/>
      <c r="V215" s="120"/>
      <c r="W215" s="19"/>
    </row>
    <row r="216" spans="1:23" s="17" customFormat="1" ht="62.25" customHeight="1">
      <c r="A216" s="20">
        <v>190</v>
      </c>
      <c r="B216" s="21" t="s">
        <v>88</v>
      </c>
      <c r="C216" s="132" t="s">
        <v>278</v>
      </c>
      <c r="D216" s="132"/>
      <c r="E216" s="22"/>
      <c r="F216" s="22">
        <v>0</v>
      </c>
      <c r="G216" s="22"/>
      <c r="H216" s="22"/>
      <c r="I216" s="22"/>
      <c r="J216" s="22"/>
      <c r="K216" s="22"/>
      <c r="L216" s="13">
        <v>0</v>
      </c>
      <c r="M216" s="22"/>
      <c r="N216" s="22"/>
      <c r="O216" s="22">
        <v>4038543</v>
      </c>
      <c r="P216" s="25">
        <v>20000000</v>
      </c>
      <c r="Q216" s="14">
        <v>0</v>
      </c>
      <c r="R216" s="18">
        <v>20000000</v>
      </c>
      <c r="S216" s="34"/>
      <c r="T216" s="34"/>
      <c r="U216" s="15"/>
      <c r="V216" s="118"/>
      <c r="W216" s="19"/>
    </row>
    <row r="217" spans="1:23" s="17" customFormat="1" ht="60.75" customHeight="1">
      <c r="A217" s="20">
        <v>191</v>
      </c>
      <c r="B217" s="56" t="s">
        <v>88</v>
      </c>
      <c r="C217" s="132" t="s">
        <v>279</v>
      </c>
      <c r="D217" s="132"/>
      <c r="E217" s="22"/>
      <c r="F217" s="22">
        <v>35707565</v>
      </c>
      <c r="G217" s="22">
        <v>60000000</v>
      </c>
      <c r="H217" s="22">
        <v>60000000</v>
      </c>
      <c r="I217" s="22"/>
      <c r="J217" s="22"/>
      <c r="K217" s="22"/>
      <c r="L217" s="13">
        <v>0</v>
      </c>
      <c r="M217" s="22"/>
      <c r="N217" s="22"/>
      <c r="O217" s="22">
        <v>13331222</v>
      </c>
      <c r="P217" s="25">
        <v>0</v>
      </c>
      <c r="Q217" s="14">
        <v>18941453.600000001</v>
      </c>
      <c r="R217" s="18">
        <v>18941453.600000001</v>
      </c>
      <c r="S217" s="34"/>
      <c r="T217" s="34"/>
      <c r="U217" s="15"/>
      <c r="V217" s="117"/>
      <c r="W217" s="19"/>
    </row>
    <row r="218" spans="1:23" s="17" customFormat="1" ht="30" customHeight="1">
      <c r="A218" s="139" t="s">
        <v>280</v>
      </c>
      <c r="B218" s="140"/>
      <c r="C218" s="140"/>
      <c r="D218" s="141"/>
      <c r="E218" s="13">
        <f t="shared" ref="E218:O218" si="39">SUM(E219:E221)</f>
        <v>14035000</v>
      </c>
      <c r="F218" s="13">
        <f t="shared" si="39"/>
        <v>0</v>
      </c>
      <c r="G218" s="13">
        <f t="shared" si="39"/>
        <v>0</v>
      </c>
      <c r="H218" s="13">
        <f t="shared" ref="H218" si="40">SUM(H219:H221)</f>
        <v>0</v>
      </c>
      <c r="I218" s="13">
        <f t="shared" si="39"/>
        <v>170089702.59999999</v>
      </c>
      <c r="J218" s="13">
        <f t="shared" si="39"/>
        <v>76517264</v>
      </c>
      <c r="K218" s="13">
        <f t="shared" ref="K218" si="41">SUM(K219:K221)</f>
        <v>224865588.59999999</v>
      </c>
      <c r="L218" s="13">
        <v>104775000</v>
      </c>
      <c r="M218" s="13">
        <f t="shared" si="39"/>
        <v>0</v>
      </c>
      <c r="N218" s="13">
        <f t="shared" ref="N218" si="42">SUM(N219:N221)</f>
        <v>0</v>
      </c>
      <c r="O218" s="13">
        <f t="shared" si="39"/>
        <v>2002762091</v>
      </c>
      <c r="P218" s="14">
        <v>0</v>
      </c>
      <c r="Q218" s="14">
        <v>36538585.600000001</v>
      </c>
      <c r="R218" s="14">
        <v>36538585.600000001</v>
      </c>
      <c r="S218" s="15"/>
      <c r="T218" s="15"/>
      <c r="U218" s="15"/>
      <c r="V218" s="100"/>
      <c r="W218" s="19"/>
    </row>
    <row r="219" spans="1:23" s="17" customFormat="1" ht="34.5" customHeight="1">
      <c r="A219" s="20">
        <v>192</v>
      </c>
      <c r="B219" s="133" t="s">
        <v>281</v>
      </c>
      <c r="C219" s="132" t="s">
        <v>282</v>
      </c>
      <c r="D219" s="132"/>
      <c r="E219" s="22">
        <v>13535000</v>
      </c>
      <c r="F219" s="22">
        <v>0</v>
      </c>
      <c r="G219" s="22"/>
      <c r="H219" s="22"/>
      <c r="I219" s="22">
        <v>170089702.59999999</v>
      </c>
      <c r="J219" s="22">
        <v>76517264</v>
      </c>
      <c r="K219" s="27">
        <v>224865588.59999999</v>
      </c>
      <c r="L219" s="13">
        <v>104775000</v>
      </c>
      <c r="M219" s="22"/>
      <c r="N219" s="22"/>
      <c r="O219" s="22">
        <f>1721991221-200000000</f>
        <v>1521991221</v>
      </c>
      <c r="P219" s="25"/>
      <c r="Q219" s="14">
        <v>0</v>
      </c>
      <c r="R219" s="18">
        <v>0</v>
      </c>
      <c r="S219" s="26"/>
      <c r="T219" s="26"/>
      <c r="U219" s="15"/>
      <c r="V219" s="118"/>
      <c r="W219" s="19"/>
    </row>
    <row r="220" spans="1:23" s="17" customFormat="1" ht="34.5" customHeight="1">
      <c r="A220" s="20">
        <v>193</v>
      </c>
      <c r="B220" s="134"/>
      <c r="C220" s="135" t="s">
        <v>283</v>
      </c>
      <c r="D220" s="136"/>
      <c r="E220" s="22"/>
      <c r="F220" s="22">
        <v>0</v>
      </c>
      <c r="G220" s="22"/>
      <c r="H220" s="22"/>
      <c r="I220" s="22"/>
      <c r="J220" s="22"/>
      <c r="K220" s="22"/>
      <c r="L220" s="13">
        <v>0</v>
      </c>
      <c r="M220" s="22"/>
      <c r="N220" s="22"/>
      <c r="O220" s="22">
        <v>480770870</v>
      </c>
      <c r="P220" s="25"/>
      <c r="Q220" s="14">
        <v>0</v>
      </c>
      <c r="R220" s="18">
        <v>0</v>
      </c>
      <c r="S220" s="26"/>
      <c r="T220" s="26"/>
      <c r="U220" s="15"/>
      <c r="V220" s="118"/>
      <c r="W220" s="19"/>
    </row>
    <row r="221" spans="1:23" s="17" customFormat="1" ht="39.75" customHeight="1">
      <c r="A221" s="20">
        <v>194</v>
      </c>
      <c r="B221" s="21" t="s">
        <v>88</v>
      </c>
      <c r="C221" s="132" t="s">
        <v>284</v>
      </c>
      <c r="D221" s="132"/>
      <c r="E221" s="22">
        <v>500000</v>
      </c>
      <c r="F221" s="22">
        <v>0</v>
      </c>
      <c r="G221" s="22"/>
      <c r="H221" s="22"/>
      <c r="I221" s="22"/>
      <c r="J221" s="22"/>
      <c r="K221" s="22"/>
      <c r="L221" s="13">
        <v>0</v>
      </c>
      <c r="M221" s="24"/>
      <c r="N221" s="24"/>
      <c r="O221" s="22"/>
      <c r="P221" s="25">
        <v>0</v>
      </c>
      <c r="Q221" s="14">
        <v>36538585.600000001</v>
      </c>
      <c r="R221" s="18">
        <v>36538585.600000001</v>
      </c>
      <c r="S221" s="34"/>
      <c r="T221" s="34"/>
      <c r="U221" s="15"/>
      <c r="V221" s="118"/>
      <c r="W221" s="19"/>
    </row>
    <row r="222" spans="1:23" s="17" customFormat="1" ht="30" hidden="1" customHeight="1">
      <c r="A222" s="129" t="s">
        <v>285</v>
      </c>
      <c r="B222" s="130"/>
      <c r="C222" s="130"/>
      <c r="D222" s="131"/>
      <c r="E222" s="13">
        <f t="shared" ref="E222:O222" si="43">E223</f>
        <v>460480000</v>
      </c>
      <c r="F222" s="13">
        <f t="shared" si="43"/>
        <v>5224639985</v>
      </c>
      <c r="G222" s="13">
        <f t="shared" si="43"/>
        <v>4432639985</v>
      </c>
      <c r="H222" s="13">
        <f t="shared" si="43"/>
        <v>4432639985</v>
      </c>
      <c r="I222" s="13">
        <f t="shared" si="43"/>
        <v>18977530245.950001</v>
      </c>
      <c r="J222" s="13">
        <f t="shared" si="43"/>
        <v>587703686.27999997</v>
      </c>
      <c r="K222" s="13">
        <f t="shared" si="43"/>
        <v>22655728069.820004</v>
      </c>
      <c r="L222" s="13">
        <v>1650004620</v>
      </c>
      <c r="M222" s="13">
        <f t="shared" si="43"/>
        <v>0</v>
      </c>
      <c r="N222" s="13">
        <f t="shared" si="43"/>
        <v>0</v>
      </c>
      <c r="O222" s="13">
        <f t="shared" si="43"/>
        <v>8080127660</v>
      </c>
      <c r="P222" s="14">
        <v>1061368402</v>
      </c>
      <c r="Q222" s="14">
        <v>826585278.39999998</v>
      </c>
      <c r="R222" s="18">
        <v>1887953680.4000001</v>
      </c>
      <c r="S222" s="15"/>
      <c r="T222" s="15"/>
      <c r="U222" s="15"/>
      <c r="V222" s="100"/>
      <c r="W222" s="19"/>
    </row>
    <row r="223" spans="1:23" s="17" customFormat="1" ht="30" customHeight="1">
      <c r="A223" s="139" t="s">
        <v>285</v>
      </c>
      <c r="B223" s="140"/>
      <c r="C223" s="140"/>
      <c r="D223" s="141"/>
      <c r="E223" s="13">
        <f t="shared" ref="E223:O223" si="44">SUM(E224:E269)</f>
        <v>460480000</v>
      </c>
      <c r="F223" s="13">
        <f t="shared" si="44"/>
        <v>5224639985</v>
      </c>
      <c r="G223" s="13">
        <f t="shared" si="44"/>
        <v>4432639985</v>
      </c>
      <c r="H223" s="13">
        <f t="shared" si="44"/>
        <v>4432639985</v>
      </c>
      <c r="I223" s="13">
        <f t="shared" si="44"/>
        <v>18977530245.950001</v>
      </c>
      <c r="J223" s="13">
        <f t="shared" si="44"/>
        <v>587703686.27999997</v>
      </c>
      <c r="K223" s="13">
        <f t="shared" si="44"/>
        <v>22655728069.820004</v>
      </c>
      <c r="L223" s="13">
        <v>1650004620</v>
      </c>
      <c r="M223" s="13">
        <f t="shared" si="44"/>
        <v>0</v>
      </c>
      <c r="N223" s="13">
        <f t="shared" si="44"/>
        <v>0</v>
      </c>
      <c r="O223" s="13">
        <f t="shared" si="44"/>
        <v>8080127660</v>
      </c>
      <c r="P223" s="14">
        <v>1061368402</v>
      </c>
      <c r="Q223" s="14">
        <v>826585278.39999998</v>
      </c>
      <c r="R223" s="14">
        <v>1887953680.4000001</v>
      </c>
      <c r="S223" s="15"/>
      <c r="T223" s="15"/>
      <c r="U223" s="15"/>
      <c r="V223" s="100"/>
      <c r="W223" s="19"/>
    </row>
    <row r="224" spans="1:23" s="17" customFormat="1" ht="38.1" customHeight="1">
      <c r="A224" s="20">
        <v>195</v>
      </c>
      <c r="B224" s="157" t="s">
        <v>286</v>
      </c>
      <c r="C224" s="132" t="s">
        <v>287</v>
      </c>
      <c r="D224" s="132"/>
      <c r="E224" s="22">
        <f>515900000-100000000</f>
        <v>415900000</v>
      </c>
      <c r="F224" s="22">
        <v>0</v>
      </c>
      <c r="G224" s="22"/>
      <c r="H224" s="22"/>
      <c r="I224" s="22">
        <v>1397368245.9300001</v>
      </c>
      <c r="J224" s="22">
        <v>587703686.27999997</v>
      </c>
      <c r="K224" s="27">
        <v>1438524274.04</v>
      </c>
      <c r="L224" s="13">
        <v>935000000</v>
      </c>
      <c r="M224" s="24"/>
      <c r="N224" s="24"/>
      <c r="O224" s="24">
        <f>6237127660-300000000</f>
        <v>5937127660</v>
      </c>
      <c r="P224" s="25"/>
      <c r="Q224" s="14">
        <v>0</v>
      </c>
      <c r="R224" s="18">
        <v>0</v>
      </c>
      <c r="S224" s="26"/>
      <c r="T224" s="26"/>
      <c r="U224" s="15"/>
      <c r="V224" s="117"/>
      <c r="W224" s="19"/>
    </row>
    <row r="225" spans="1:23" s="17" customFormat="1" ht="38.1" customHeight="1">
      <c r="A225" s="20">
        <v>196</v>
      </c>
      <c r="B225" s="157"/>
      <c r="C225" s="135" t="s">
        <v>288</v>
      </c>
      <c r="D225" s="136"/>
      <c r="E225" s="22"/>
      <c r="F225" s="22"/>
      <c r="G225" s="22"/>
      <c r="H225" s="22"/>
      <c r="I225" s="22"/>
      <c r="J225" s="22"/>
      <c r="K225" s="22"/>
      <c r="L225" s="13">
        <v>55000000</v>
      </c>
      <c r="M225" s="24"/>
      <c r="N225" s="24"/>
      <c r="O225" s="24"/>
      <c r="P225" s="25"/>
      <c r="Q225" s="14">
        <v>0</v>
      </c>
      <c r="R225" s="18">
        <v>0</v>
      </c>
      <c r="S225" s="26"/>
      <c r="T225" s="26"/>
      <c r="U225" s="15"/>
      <c r="V225" s="100"/>
      <c r="W225" s="19"/>
    </row>
    <row r="226" spans="1:23" s="17" customFormat="1" ht="41.25" customHeight="1">
      <c r="A226" s="20">
        <v>197</v>
      </c>
      <c r="B226" s="157"/>
      <c r="C226" s="135" t="s">
        <v>289</v>
      </c>
      <c r="D226" s="136"/>
      <c r="E226" s="30">
        <v>0</v>
      </c>
      <c r="F226" s="30"/>
      <c r="G226" s="22"/>
      <c r="H226" s="22"/>
      <c r="I226" s="22"/>
      <c r="J226" s="22"/>
      <c r="K226" s="27">
        <v>117332338.08</v>
      </c>
      <c r="L226" s="13">
        <v>0</v>
      </c>
      <c r="M226" s="24"/>
      <c r="N226" s="24"/>
      <c r="O226" s="24"/>
      <c r="P226" s="25"/>
      <c r="Q226" s="14">
        <v>0</v>
      </c>
      <c r="R226" s="18">
        <v>0</v>
      </c>
      <c r="S226" s="26"/>
      <c r="T226" s="26"/>
      <c r="U226" s="15"/>
      <c r="V226" s="100"/>
      <c r="W226" s="19"/>
    </row>
    <row r="227" spans="1:23" s="17" customFormat="1" ht="63.75" customHeight="1">
      <c r="A227" s="20">
        <v>198</v>
      </c>
      <c r="B227" s="157"/>
      <c r="C227" s="135" t="s">
        <v>290</v>
      </c>
      <c r="D227" s="136"/>
      <c r="E227" s="30">
        <v>0</v>
      </c>
      <c r="F227" s="30"/>
      <c r="G227" s="22"/>
      <c r="H227" s="22"/>
      <c r="I227" s="22"/>
      <c r="J227" s="22"/>
      <c r="K227" s="27">
        <v>20642054.760000002</v>
      </c>
      <c r="L227" s="13">
        <v>0</v>
      </c>
      <c r="M227" s="24"/>
      <c r="N227" s="24"/>
      <c r="O227" s="24"/>
      <c r="P227" s="25"/>
      <c r="Q227" s="14">
        <v>0</v>
      </c>
      <c r="R227" s="18">
        <v>0</v>
      </c>
      <c r="S227" s="26"/>
      <c r="T227" s="26"/>
      <c r="U227" s="15"/>
      <c r="V227" s="100"/>
      <c r="W227" s="19"/>
    </row>
    <row r="228" spans="1:23" s="17" customFormat="1" ht="38.1" customHeight="1">
      <c r="A228" s="20">
        <v>199</v>
      </c>
      <c r="B228" s="157"/>
      <c r="C228" s="132" t="s">
        <v>291</v>
      </c>
      <c r="D228" s="132"/>
      <c r="E228" s="22"/>
      <c r="F228" s="22">
        <v>0</v>
      </c>
      <c r="G228" s="22"/>
      <c r="H228" s="22"/>
      <c r="I228" s="22"/>
      <c r="J228" s="22"/>
      <c r="K228" s="22"/>
      <c r="L228" s="13">
        <v>346500000</v>
      </c>
      <c r="M228" s="24"/>
      <c r="N228" s="24"/>
      <c r="O228" s="24"/>
      <c r="P228" s="25"/>
      <c r="Q228" s="14">
        <v>0</v>
      </c>
      <c r="R228" s="18">
        <v>0</v>
      </c>
      <c r="S228" s="26"/>
      <c r="T228" s="26"/>
      <c r="U228" s="15"/>
      <c r="V228" s="117"/>
      <c r="W228" s="19"/>
    </row>
    <row r="229" spans="1:23" s="17" customFormat="1" ht="38.1" customHeight="1">
      <c r="A229" s="20">
        <v>200</v>
      </c>
      <c r="B229" s="157"/>
      <c r="C229" s="132" t="s">
        <v>292</v>
      </c>
      <c r="D229" s="132"/>
      <c r="E229" s="22"/>
      <c r="F229" s="22">
        <v>0</v>
      </c>
      <c r="G229" s="22"/>
      <c r="H229" s="22"/>
      <c r="I229" s="22"/>
      <c r="J229" s="22"/>
      <c r="K229" s="22"/>
      <c r="L229" s="13">
        <v>0</v>
      </c>
      <c r="M229" s="22"/>
      <c r="N229" s="22"/>
      <c r="O229" s="22">
        <v>500000000</v>
      </c>
      <c r="P229" s="25"/>
      <c r="Q229" s="14">
        <v>0</v>
      </c>
      <c r="R229" s="18">
        <v>0</v>
      </c>
      <c r="S229" s="26"/>
      <c r="T229" s="26"/>
      <c r="U229" s="15"/>
      <c r="V229" s="100"/>
      <c r="W229" s="19"/>
    </row>
    <row r="230" spans="1:23" s="17" customFormat="1" ht="38.1" customHeight="1">
      <c r="A230" s="20">
        <v>201</v>
      </c>
      <c r="B230" s="157"/>
      <c r="C230" s="135" t="s">
        <v>293</v>
      </c>
      <c r="D230" s="136"/>
      <c r="E230" s="22"/>
      <c r="F230" s="22">
        <v>0</v>
      </c>
      <c r="G230" s="22"/>
      <c r="H230" s="22"/>
      <c r="I230" s="22"/>
      <c r="J230" s="22"/>
      <c r="K230" s="22"/>
      <c r="L230" s="13">
        <v>0</v>
      </c>
      <c r="M230" s="22"/>
      <c r="N230" s="22"/>
      <c r="O230" s="22">
        <v>500000000</v>
      </c>
      <c r="P230" s="25"/>
      <c r="Q230" s="14">
        <v>0</v>
      </c>
      <c r="R230" s="18">
        <v>0</v>
      </c>
      <c r="S230" s="26"/>
      <c r="T230" s="26"/>
      <c r="U230" s="15"/>
      <c r="V230" s="100"/>
      <c r="W230" s="19"/>
    </row>
    <row r="231" spans="1:23" s="17" customFormat="1" ht="38.1" customHeight="1">
      <c r="A231" s="20">
        <v>202</v>
      </c>
      <c r="B231" s="157"/>
      <c r="C231" s="132" t="s">
        <v>294</v>
      </c>
      <c r="D231" s="132"/>
      <c r="E231" s="22"/>
      <c r="F231" s="22">
        <v>0</v>
      </c>
      <c r="G231" s="22"/>
      <c r="H231" s="22"/>
      <c r="I231" s="22"/>
      <c r="J231" s="22"/>
      <c r="K231" s="22"/>
      <c r="L231" s="13">
        <v>0</v>
      </c>
      <c r="M231" s="22"/>
      <c r="N231" s="22"/>
      <c r="O231" s="22">
        <v>400000000</v>
      </c>
      <c r="P231" s="25"/>
      <c r="Q231" s="14">
        <v>0</v>
      </c>
      <c r="R231" s="18">
        <v>0</v>
      </c>
      <c r="S231" s="26"/>
      <c r="T231" s="26"/>
      <c r="U231" s="15"/>
      <c r="V231" s="100"/>
      <c r="W231" s="19"/>
    </row>
    <row r="232" spans="1:23" s="17" customFormat="1" ht="38.1" customHeight="1">
      <c r="A232" s="20">
        <v>203</v>
      </c>
      <c r="B232" s="133" t="s">
        <v>295</v>
      </c>
      <c r="C232" s="132" t="s">
        <v>296</v>
      </c>
      <c r="D232" s="132"/>
      <c r="E232" s="22">
        <v>20000</v>
      </c>
      <c r="F232" s="22">
        <v>0</v>
      </c>
      <c r="G232" s="22"/>
      <c r="H232" s="22"/>
      <c r="I232" s="22">
        <v>12674132123.32</v>
      </c>
      <c r="J232" s="22"/>
      <c r="K232" s="27">
        <v>15108243112.5</v>
      </c>
      <c r="L232" s="13">
        <v>82530800</v>
      </c>
      <c r="M232" s="22"/>
      <c r="N232" s="22"/>
      <c r="O232" s="22"/>
      <c r="P232" s="25"/>
      <c r="Q232" s="14">
        <v>0</v>
      </c>
      <c r="R232" s="18">
        <v>0</v>
      </c>
      <c r="S232" s="26"/>
      <c r="T232" s="26"/>
      <c r="U232" s="15"/>
      <c r="V232" s="121"/>
      <c r="W232" s="19"/>
    </row>
    <row r="233" spans="1:23" s="17" customFormat="1" ht="54.75" customHeight="1">
      <c r="A233" s="20">
        <v>204</v>
      </c>
      <c r="B233" s="156"/>
      <c r="C233" s="132" t="s">
        <v>297</v>
      </c>
      <c r="D233" s="132"/>
      <c r="E233" s="22"/>
      <c r="F233" s="22">
        <v>0</v>
      </c>
      <c r="G233" s="22"/>
      <c r="H233" s="22"/>
      <c r="I233" s="22"/>
      <c r="J233" s="22"/>
      <c r="K233" s="22"/>
      <c r="L233" s="13">
        <v>0</v>
      </c>
      <c r="M233" s="22"/>
      <c r="N233" s="22"/>
      <c r="O233" s="22"/>
      <c r="P233" s="25"/>
      <c r="Q233" s="14">
        <v>0</v>
      </c>
      <c r="R233" s="18">
        <v>0</v>
      </c>
      <c r="S233" s="26"/>
      <c r="T233" s="26"/>
      <c r="U233" s="15"/>
      <c r="V233" s="100"/>
      <c r="W233" s="19"/>
    </row>
    <row r="234" spans="1:23" s="17" customFormat="1" ht="38.1" customHeight="1">
      <c r="A234" s="20">
        <v>205</v>
      </c>
      <c r="B234" s="20">
        <v>101</v>
      </c>
      <c r="C234" s="132" t="s">
        <v>298</v>
      </c>
      <c r="D234" s="132"/>
      <c r="E234" s="22"/>
      <c r="F234" s="22">
        <v>300000000</v>
      </c>
      <c r="G234" s="22">
        <v>300000000</v>
      </c>
      <c r="H234" s="22">
        <v>300000000</v>
      </c>
      <c r="I234" s="22"/>
      <c r="J234" s="22"/>
      <c r="K234" s="22"/>
      <c r="L234" s="13">
        <v>16632000</v>
      </c>
      <c r="M234" s="22"/>
      <c r="N234" s="22"/>
      <c r="O234" s="22"/>
      <c r="P234" s="25"/>
      <c r="Q234" s="14">
        <v>0</v>
      </c>
      <c r="R234" s="18">
        <v>0</v>
      </c>
      <c r="S234" s="26"/>
      <c r="T234" s="26"/>
      <c r="U234" s="15"/>
      <c r="V234" s="121"/>
      <c r="W234" s="19"/>
    </row>
    <row r="235" spans="1:23" s="17" customFormat="1" ht="38.1" customHeight="1">
      <c r="A235" s="20">
        <v>206</v>
      </c>
      <c r="B235" s="20">
        <v>102</v>
      </c>
      <c r="C235" s="132" t="s">
        <v>299</v>
      </c>
      <c r="D235" s="132"/>
      <c r="E235" s="22"/>
      <c r="F235" s="22">
        <v>300000000</v>
      </c>
      <c r="G235" s="22">
        <v>300000000</v>
      </c>
      <c r="H235" s="22">
        <v>300000000</v>
      </c>
      <c r="I235" s="22"/>
      <c r="J235" s="22"/>
      <c r="K235" s="22"/>
      <c r="L235" s="13">
        <v>16632000</v>
      </c>
      <c r="M235" s="22"/>
      <c r="N235" s="22"/>
      <c r="O235" s="22"/>
      <c r="P235" s="25"/>
      <c r="Q235" s="14">
        <v>0</v>
      </c>
      <c r="R235" s="18">
        <v>0</v>
      </c>
      <c r="S235" s="26"/>
      <c r="T235" s="26"/>
      <c r="U235" s="15"/>
      <c r="V235" s="121"/>
      <c r="W235" s="19"/>
    </row>
    <row r="236" spans="1:23" s="17" customFormat="1" ht="38.1" customHeight="1">
      <c r="A236" s="20">
        <v>207</v>
      </c>
      <c r="B236" s="20">
        <v>103</v>
      </c>
      <c r="C236" s="132" t="s">
        <v>300</v>
      </c>
      <c r="D236" s="132"/>
      <c r="E236" s="22"/>
      <c r="F236" s="22">
        <v>300000000</v>
      </c>
      <c r="G236" s="22">
        <v>300000000</v>
      </c>
      <c r="H236" s="22">
        <v>300000000</v>
      </c>
      <c r="I236" s="22"/>
      <c r="J236" s="22"/>
      <c r="K236" s="22"/>
      <c r="L236" s="13">
        <v>13304500</v>
      </c>
      <c r="M236" s="22"/>
      <c r="N236" s="22"/>
      <c r="O236" s="22"/>
      <c r="P236" s="25"/>
      <c r="Q236" s="14">
        <v>0</v>
      </c>
      <c r="R236" s="18">
        <v>0</v>
      </c>
      <c r="S236" s="26"/>
      <c r="T236" s="26"/>
      <c r="U236" s="15"/>
      <c r="V236" s="121"/>
      <c r="W236" s="19"/>
    </row>
    <row r="237" spans="1:23" s="17" customFormat="1" ht="38.1" customHeight="1">
      <c r="A237" s="20">
        <v>208</v>
      </c>
      <c r="B237" s="20">
        <v>104</v>
      </c>
      <c r="C237" s="132" t="s">
        <v>301</v>
      </c>
      <c r="D237" s="132"/>
      <c r="E237" s="22"/>
      <c r="F237" s="22">
        <v>250000000</v>
      </c>
      <c r="G237" s="22">
        <f>250000000-25000000</f>
        <v>225000000</v>
      </c>
      <c r="H237" s="22">
        <v>225000000</v>
      </c>
      <c r="I237" s="22"/>
      <c r="J237" s="22"/>
      <c r="K237" s="22"/>
      <c r="L237" s="13">
        <v>10644480</v>
      </c>
      <c r="M237" s="22"/>
      <c r="N237" s="22"/>
      <c r="O237" s="22"/>
      <c r="P237" s="25"/>
      <c r="Q237" s="14">
        <v>0</v>
      </c>
      <c r="R237" s="18">
        <v>0</v>
      </c>
      <c r="S237" s="26"/>
      <c r="T237" s="26"/>
      <c r="U237" s="15"/>
      <c r="V237" s="121"/>
      <c r="W237" s="19"/>
    </row>
    <row r="238" spans="1:23" s="17" customFormat="1" ht="38.1" customHeight="1">
      <c r="A238" s="20">
        <v>209</v>
      </c>
      <c r="B238" s="20">
        <v>105</v>
      </c>
      <c r="C238" s="132" t="s">
        <v>302</v>
      </c>
      <c r="D238" s="132"/>
      <c r="E238" s="22"/>
      <c r="F238" s="22">
        <v>320000000</v>
      </c>
      <c r="G238" s="22">
        <f>320000000-20000000</f>
        <v>300000000</v>
      </c>
      <c r="H238" s="22">
        <v>300000000</v>
      </c>
      <c r="I238" s="22"/>
      <c r="J238" s="22"/>
      <c r="K238" s="22"/>
      <c r="L238" s="13">
        <v>15800400</v>
      </c>
      <c r="M238" s="22"/>
      <c r="N238" s="22"/>
      <c r="O238" s="22"/>
      <c r="P238" s="25"/>
      <c r="Q238" s="14">
        <v>0</v>
      </c>
      <c r="R238" s="18">
        <v>0</v>
      </c>
      <c r="S238" s="26"/>
      <c r="T238" s="26"/>
      <c r="U238" s="15"/>
      <c r="V238" s="121"/>
      <c r="W238" s="19"/>
    </row>
    <row r="239" spans="1:23" s="17" customFormat="1" ht="38.1" customHeight="1">
      <c r="A239" s="20">
        <v>210</v>
      </c>
      <c r="B239" s="20">
        <v>106</v>
      </c>
      <c r="C239" s="132" t="s">
        <v>303</v>
      </c>
      <c r="D239" s="132"/>
      <c r="E239" s="22"/>
      <c r="F239" s="22">
        <v>250000000</v>
      </c>
      <c r="G239" s="22">
        <f>250000000-25000000</f>
        <v>225000000</v>
      </c>
      <c r="H239" s="22">
        <v>225000000</v>
      </c>
      <c r="I239" s="22"/>
      <c r="J239" s="22"/>
      <c r="K239" s="22"/>
      <c r="L239" s="13">
        <v>8316000</v>
      </c>
      <c r="M239" s="22"/>
      <c r="N239" s="22"/>
      <c r="O239" s="22"/>
      <c r="P239" s="25"/>
      <c r="Q239" s="14">
        <v>0</v>
      </c>
      <c r="R239" s="18">
        <v>0</v>
      </c>
      <c r="S239" s="26"/>
      <c r="T239" s="26"/>
      <c r="U239" s="15"/>
      <c r="V239" s="121"/>
      <c r="W239" s="19"/>
    </row>
    <row r="240" spans="1:23" s="17" customFormat="1" ht="38.1" customHeight="1">
      <c r="A240" s="20">
        <v>211</v>
      </c>
      <c r="B240" s="20">
        <v>107</v>
      </c>
      <c r="C240" s="132" t="s">
        <v>304</v>
      </c>
      <c r="D240" s="132"/>
      <c r="E240" s="22"/>
      <c r="F240" s="22">
        <v>250000000</v>
      </c>
      <c r="G240" s="22">
        <f>250000000-50000000</f>
        <v>200000000</v>
      </c>
      <c r="H240" s="22">
        <v>200000000</v>
      </c>
      <c r="I240" s="22"/>
      <c r="J240" s="22"/>
      <c r="K240" s="22"/>
      <c r="L240" s="13">
        <v>11066000</v>
      </c>
      <c r="M240" s="22"/>
      <c r="N240" s="22"/>
      <c r="O240" s="22"/>
      <c r="P240" s="25"/>
      <c r="Q240" s="14">
        <v>0</v>
      </c>
      <c r="R240" s="18">
        <v>0</v>
      </c>
      <c r="S240" s="26"/>
      <c r="T240" s="26"/>
      <c r="U240" s="15"/>
      <c r="V240" s="121"/>
      <c r="W240" s="19"/>
    </row>
    <row r="241" spans="1:23" s="17" customFormat="1" ht="38.1" customHeight="1">
      <c r="A241" s="20">
        <v>212</v>
      </c>
      <c r="B241" s="20">
        <v>108</v>
      </c>
      <c r="C241" s="132" t="s">
        <v>305</v>
      </c>
      <c r="D241" s="132"/>
      <c r="E241" s="22"/>
      <c r="F241" s="22">
        <v>150000000</v>
      </c>
      <c r="G241" s="22">
        <v>125000000</v>
      </c>
      <c r="H241" s="22">
        <v>125000000</v>
      </c>
      <c r="I241" s="22"/>
      <c r="J241" s="22"/>
      <c r="K241" s="22"/>
      <c r="L241" s="13">
        <v>5526400</v>
      </c>
      <c r="M241" s="22"/>
      <c r="N241" s="22"/>
      <c r="O241" s="22"/>
      <c r="P241" s="25"/>
      <c r="Q241" s="14">
        <v>0</v>
      </c>
      <c r="R241" s="18">
        <v>0</v>
      </c>
      <c r="S241" s="26"/>
      <c r="T241" s="26"/>
      <c r="U241" s="15"/>
      <c r="V241" s="121"/>
      <c r="W241" s="19"/>
    </row>
    <row r="242" spans="1:23" s="17" customFormat="1" ht="38.1" customHeight="1">
      <c r="A242" s="20">
        <v>213</v>
      </c>
      <c r="B242" s="20">
        <v>109</v>
      </c>
      <c r="C242" s="132" t="s">
        <v>306</v>
      </c>
      <c r="D242" s="132"/>
      <c r="E242" s="22"/>
      <c r="F242" s="22">
        <v>60000000</v>
      </c>
      <c r="G242" s="22">
        <v>40000000</v>
      </c>
      <c r="H242" s="22">
        <v>40000000</v>
      </c>
      <c r="I242" s="22"/>
      <c r="J242" s="22"/>
      <c r="K242" s="22"/>
      <c r="L242" s="13">
        <v>2494800</v>
      </c>
      <c r="M242" s="22"/>
      <c r="N242" s="22"/>
      <c r="O242" s="22"/>
      <c r="P242" s="25"/>
      <c r="Q242" s="14">
        <v>0</v>
      </c>
      <c r="R242" s="18">
        <v>0</v>
      </c>
      <c r="S242" s="26"/>
      <c r="T242" s="26"/>
      <c r="U242" s="15"/>
      <c r="V242" s="121"/>
      <c r="W242" s="19"/>
    </row>
    <row r="243" spans="1:23" s="17" customFormat="1" ht="38.1" customHeight="1">
      <c r="A243" s="20">
        <v>214</v>
      </c>
      <c r="B243" s="20">
        <v>111</v>
      </c>
      <c r="C243" s="132" t="s">
        <v>307</v>
      </c>
      <c r="D243" s="132"/>
      <c r="E243" s="22"/>
      <c r="F243" s="22">
        <v>250000000</v>
      </c>
      <c r="G243" s="22">
        <v>200000000</v>
      </c>
      <c r="H243" s="22">
        <v>200000000</v>
      </c>
      <c r="I243" s="22"/>
      <c r="J243" s="22"/>
      <c r="K243" s="22"/>
      <c r="L243" s="13">
        <v>9979200</v>
      </c>
      <c r="M243" s="22"/>
      <c r="N243" s="22"/>
      <c r="O243" s="22"/>
      <c r="P243" s="25"/>
      <c r="Q243" s="14">
        <v>0</v>
      </c>
      <c r="R243" s="18">
        <v>0</v>
      </c>
      <c r="S243" s="26"/>
      <c r="T243" s="26"/>
      <c r="U243" s="15"/>
      <c r="V243" s="121"/>
      <c r="W243" s="19"/>
    </row>
    <row r="244" spans="1:23" s="17" customFormat="1" ht="48.75" customHeight="1">
      <c r="A244" s="20">
        <v>215</v>
      </c>
      <c r="B244" s="20">
        <v>112</v>
      </c>
      <c r="C244" s="132" t="s">
        <v>308</v>
      </c>
      <c r="D244" s="132"/>
      <c r="E244" s="22"/>
      <c r="F244" s="22">
        <v>7000000</v>
      </c>
      <c r="G244" s="22">
        <v>7000000</v>
      </c>
      <c r="H244" s="22">
        <v>7000000</v>
      </c>
      <c r="I244" s="22"/>
      <c r="J244" s="22"/>
      <c r="K244" s="22"/>
      <c r="L244" s="13">
        <v>16924600</v>
      </c>
      <c r="M244" s="22"/>
      <c r="N244" s="22"/>
      <c r="O244" s="22"/>
      <c r="P244" s="25"/>
      <c r="Q244" s="14">
        <v>0</v>
      </c>
      <c r="R244" s="18">
        <v>0</v>
      </c>
      <c r="S244" s="26"/>
      <c r="T244" s="26"/>
      <c r="U244" s="15"/>
      <c r="V244" s="121"/>
      <c r="W244" s="19"/>
    </row>
    <row r="245" spans="1:23" s="17" customFormat="1" ht="38.1" customHeight="1">
      <c r="A245" s="20">
        <v>216</v>
      </c>
      <c r="B245" s="20">
        <v>113</v>
      </c>
      <c r="C245" s="132" t="s">
        <v>309</v>
      </c>
      <c r="D245" s="132"/>
      <c r="E245" s="22"/>
      <c r="F245" s="22">
        <v>60000000</v>
      </c>
      <c r="G245" s="22">
        <v>60000000</v>
      </c>
      <c r="H245" s="22">
        <v>60000000</v>
      </c>
      <c r="I245" s="22"/>
      <c r="J245" s="22"/>
      <c r="K245" s="22"/>
      <c r="L245" s="13">
        <v>13816000</v>
      </c>
      <c r="M245" s="22"/>
      <c r="N245" s="22"/>
      <c r="O245" s="22"/>
      <c r="P245" s="25"/>
      <c r="Q245" s="14">
        <v>0</v>
      </c>
      <c r="R245" s="18">
        <v>0</v>
      </c>
      <c r="S245" s="26"/>
      <c r="T245" s="26"/>
      <c r="U245" s="15"/>
      <c r="V245" s="121"/>
      <c r="W245" s="19"/>
    </row>
    <row r="246" spans="1:23" s="17" customFormat="1" ht="38.1" customHeight="1">
      <c r="A246" s="20">
        <v>217</v>
      </c>
      <c r="B246" s="20">
        <v>114</v>
      </c>
      <c r="C246" s="132" t="s">
        <v>310</v>
      </c>
      <c r="D246" s="132"/>
      <c r="E246" s="22"/>
      <c r="F246" s="22">
        <v>80000000</v>
      </c>
      <c r="G246" s="22">
        <v>60000000</v>
      </c>
      <c r="H246" s="22">
        <v>60000000</v>
      </c>
      <c r="I246" s="22"/>
      <c r="J246" s="22"/>
      <c r="K246" s="22"/>
      <c r="L246" s="13">
        <v>3326400</v>
      </c>
      <c r="M246" s="22"/>
      <c r="N246" s="22"/>
      <c r="O246" s="22"/>
      <c r="P246" s="25"/>
      <c r="Q246" s="14">
        <v>0</v>
      </c>
      <c r="R246" s="18">
        <v>0</v>
      </c>
      <c r="S246" s="26"/>
      <c r="T246" s="26"/>
      <c r="U246" s="15"/>
      <c r="V246" s="121"/>
      <c r="W246" s="19"/>
    </row>
    <row r="247" spans="1:23" s="17" customFormat="1" ht="38.1" customHeight="1">
      <c r="A247" s="20">
        <v>218</v>
      </c>
      <c r="B247" s="20">
        <v>115</v>
      </c>
      <c r="C247" s="132" t="s">
        <v>311</v>
      </c>
      <c r="D247" s="132"/>
      <c r="E247" s="22"/>
      <c r="F247" s="22">
        <v>80000000</v>
      </c>
      <c r="G247" s="22">
        <v>60000000</v>
      </c>
      <c r="H247" s="22">
        <v>60000000</v>
      </c>
      <c r="I247" s="22"/>
      <c r="J247" s="22"/>
      <c r="K247" s="22"/>
      <c r="L247" s="13">
        <v>4989600</v>
      </c>
      <c r="M247" s="22"/>
      <c r="N247" s="22"/>
      <c r="O247" s="22"/>
      <c r="P247" s="25"/>
      <c r="Q247" s="14">
        <v>0</v>
      </c>
      <c r="R247" s="18">
        <v>0</v>
      </c>
      <c r="S247" s="26"/>
      <c r="T247" s="26"/>
      <c r="U247" s="15"/>
      <c r="V247" s="121"/>
      <c r="W247" s="19"/>
    </row>
    <row r="248" spans="1:23" s="17" customFormat="1" ht="38.1" customHeight="1">
      <c r="A248" s="20">
        <v>219</v>
      </c>
      <c r="B248" s="20">
        <v>116</v>
      </c>
      <c r="C248" s="132" t="s">
        <v>312</v>
      </c>
      <c r="D248" s="132"/>
      <c r="E248" s="22"/>
      <c r="F248" s="22">
        <v>100000000</v>
      </c>
      <c r="G248" s="22">
        <v>80000000</v>
      </c>
      <c r="H248" s="22">
        <v>80000000</v>
      </c>
      <c r="I248" s="22"/>
      <c r="J248" s="22"/>
      <c r="K248" s="22"/>
      <c r="L248" s="13">
        <v>3326400</v>
      </c>
      <c r="M248" s="22"/>
      <c r="N248" s="22"/>
      <c r="O248" s="22"/>
      <c r="P248" s="25"/>
      <c r="Q248" s="14">
        <v>0</v>
      </c>
      <c r="R248" s="18">
        <v>0</v>
      </c>
      <c r="S248" s="26"/>
      <c r="T248" s="26"/>
      <c r="U248" s="15"/>
      <c r="V248" s="121"/>
      <c r="W248" s="19"/>
    </row>
    <row r="249" spans="1:23" s="17" customFormat="1" ht="38.1" customHeight="1">
      <c r="A249" s="20">
        <v>220</v>
      </c>
      <c r="B249" s="20">
        <v>117</v>
      </c>
      <c r="C249" s="132" t="s">
        <v>313</v>
      </c>
      <c r="D249" s="132"/>
      <c r="E249" s="22"/>
      <c r="F249" s="22">
        <v>100000000</v>
      </c>
      <c r="G249" s="22">
        <v>80000000</v>
      </c>
      <c r="H249" s="22">
        <v>80000000</v>
      </c>
      <c r="I249" s="22"/>
      <c r="J249" s="22"/>
      <c r="K249" s="22"/>
      <c r="L249" s="13">
        <v>2494800</v>
      </c>
      <c r="M249" s="22"/>
      <c r="N249" s="22"/>
      <c r="O249" s="22"/>
      <c r="P249" s="25"/>
      <c r="Q249" s="14">
        <v>0</v>
      </c>
      <c r="R249" s="18">
        <v>0</v>
      </c>
      <c r="S249" s="26"/>
      <c r="T249" s="26"/>
      <c r="U249" s="15"/>
      <c r="V249" s="121"/>
      <c r="W249" s="19"/>
    </row>
    <row r="250" spans="1:23" s="17" customFormat="1" ht="38.1" customHeight="1">
      <c r="A250" s="20">
        <v>221</v>
      </c>
      <c r="B250" s="20">
        <v>118</v>
      </c>
      <c r="C250" s="132" t="s">
        <v>314</v>
      </c>
      <c r="D250" s="132"/>
      <c r="E250" s="22"/>
      <c r="F250" s="22">
        <v>5000000</v>
      </c>
      <c r="G250" s="22">
        <v>5000000</v>
      </c>
      <c r="H250" s="22">
        <v>5000000</v>
      </c>
      <c r="I250" s="22"/>
      <c r="J250" s="22"/>
      <c r="K250" s="22"/>
      <c r="L250" s="13">
        <v>1663200</v>
      </c>
      <c r="M250" s="22"/>
      <c r="N250" s="22"/>
      <c r="O250" s="22"/>
      <c r="P250" s="25"/>
      <c r="Q250" s="14">
        <v>0</v>
      </c>
      <c r="R250" s="18">
        <v>0</v>
      </c>
      <c r="S250" s="26"/>
      <c r="T250" s="26"/>
      <c r="U250" s="15"/>
      <c r="V250" s="121"/>
      <c r="W250" s="19"/>
    </row>
    <row r="251" spans="1:23" s="17" customFormat="1" ht="38.1" customHeight="1">
      <c r="A251" s="20">
        <v>222</v>
      </c>
      <c r="B251" s="20">
        <v>119</v>
      </c>
      <c r="C251" s="152" t="s">
        <v>315</v>
      </c>
      <c r="D251" s="153"/>
      <c r="E251" s="22"/>
      <c r="F251" s="22">
        <v>70000000</v>
      </c>
      <c r="G251" s="22">
        <v>50000000</v>
      </c>
      <c r="H251" s="22">
        <v>50000000</v>
      </c>
      <c r="I251" s="22"/>
      <c r="J251" s="22"/>
      <c r="K251" s="22"/>
      <c r="L251" s="13">
        <v>2494800</v>
      </c>
      <c r="M251" s="22"/>
      <c r="N251" s="22"/>
      <c r="O251" s="22"/>
      <c r="P251" s="25"/>
      <c r="Q251" s="14">
        <v>0</v>
      </c>
      <c r="R251" s="18">
        <v>0</v>
      </c>
      <c r="S251" s="26"/>
      <c r="T251" s="26"/>
      <c r="U251" s="15"/>
      <c r="V251" s="121"/>
      <c r="W251" s="19"/>
    </row>
    <row r="252" spans="1:23" s="17" customFormat="1" ht="38.1" customHeight="1">
      <c r="A252" s="20">
        <v>223</v>
      </c>
      <c r="B252" s="20">
        <v>121</v>
      </c>
      <c r="C252" s="132" t="s">
        <v>316</v>
      </c>
      <c r="D252" s="132"/>
      <c r="E252" s="22"/>
      <c r="F252" s="22">
        <v>100000000</v>
      </c>
      <c r="G252" s="22">
        <v>80000000</v>
      </c>
      <c r="H252" s="22">
        <v>80000000</v>
      </c>
      <c r="I252" s="22"/>
      <c r="J252" s="22"/>
      <c r="K252" s="22"/>
      <c r="L252" s="13">
        <v>3326400</v>
      </c>
      <c r="M252" s="22"/>
      <c r="N252" s="22"/>
      <c r="O252" s="22"/>
      <c r="P252" s="25"/>
      <c r="Q252" s="14">
        <v>0</v>
      </c>
      <c r="R252" s="18">
        <v>0</v>
      </c>
      <c r="S252" s="26"/>
      <c r="T252" s="26"/>
      <c r="U252" s="15"/>
      <c r="V252" s="121"/>
      <c r="W252" s="19"/>
    </row>
    <row r="253" spans="1:23" s="17" customFormat="1" ht="38.1" customHeight="1">
      <c r="A253" s="20">
        <v>224</v>
      </c>
      <c r="B253" s="20">
        <v>122</v>
      </c>
      <c r="C253" s="132" t="s">
        <v>317</v>
      </c>
      <c r="D253" s="132"/>
      <c r="E253" s="22"/>
      <c r="F253" s="22">
        <v>150000000</v>
      </c>
      <c r="G253" s="22">
        <v>125000000</v>
      </c>
      <c r="H253" s="22">
        <v>125000000</v>
      </c>
      <c r="I253" s="22"/>
      <c r="J253" s="22"/>
      <c r="K253" s="22"/>
      <c r="L253" s="13">
        <v>3326400</v>
      </c>
      <c r="M253" s="22"/>
      <c r="N253" s="22"/>
      <c r="O253" s="22"/>
      <c r="P253" s="25"/>
      <c r="Q253" s="14">
        <v>0</v>
      </c>
      <c r="R253" s="18">
        <v>0</v>
      </c>
      <c r="S253" s="26"/>
      <c r="T253" s="26"/>
      <c r="U253" s="15"/>
      <c r="V253" s="121"/>
      <c r="W253" s="19"/>
    </row>
    <row r="254" spans="1:23" s="17" customFormat="1" ht="38.1" customHeight="1">
      <c r="A254" s="20">
        <v>225</v>
      </c>
      <c r="B254" s="20">
        <v>124</v>
      </c>
      <c r="C254" s="132" t="s">
        <v>318</v>
      </c>
      <c r="D254" s="132"/>
      <c r="E254" s="22"/>
      <c r="F254" s="22">
        <v>350000000</v>
      </c>
      <c r="G254" s="22">
        <v>300000000</v>
      </c>
      <c r="H254" s="22">
        <v>300000000</v>
      </c>
      <c r="I254" s="22"/>
      <c r="J254" s="22"/>
      <c r="K254" s="22"/>
      <c r="L254" s="13">
        <v>9147600</v>
      </c>
      <c r="M254" s="22"/>
      <c r="N254" s="22"/>
      <c r="O254" s="22"/>
      <c r="P254" s="25"/>
      <c r="Q254" s="14">
        <v>0</v>
      </c>
      <c r="R254" s="18">
        <v>0</v>
      </c>
      <c r="S254" s="26"/>
      <c r="T254" s="26"/>
      <c r="U254" s="15"/>
      <c r="V254" s="121"/>
      <c r="W254" s="19"/>
    </row>
    <row r="255" spans="1:23" s="17" customFormat="1" ht="38.1" customHeight="1">
      <c r="A255" s="20">
        <v>226</v>
      </c>
      <c r="B255" s="20">
        <v>125</v>
      </c>
      <c r="C255" s="132" t="s">
        <v>319</v>
      </c>
      <c r="D255" s="132"/>
      <c r="E255" s="22"/>
      <c r="F255" s="22">
        <v>160000000</v>
      </c>
      <c r="G255" s="22">
        <v>110000000</v>
      </c>
      <c r="H255" s="22">
        <v>110000000</v>
      </c>
      <c r="I255" s="22"/>
      <c r="J255" s="22"/>
      <c r="K255" s="22"/>
      <c r="L255" s="13">
        <v>8316000</v>
      </c>
      <c r="M255" s="22"/>
      <c r="N255" s="22"/>
      <c r="O255" s="22"/>
      <c r="P255" s="25"/>
      <c r="Q255" s="14">
        <v>0</v>
      </c>
      <c r="R255" s="18">
        <v>0</v>
      </c>
      <c r="S255" s="26"/>
      <c r="T255" s="26"/>
      <c r="U255" s="15"/>
      <c r="V255" s="121"/>
      <c r="W255" s="19"/>
    </row>
    <row r="256" spans="1:23" s="17" customFormat="1" ht="38.1" customHeight="1">
      <c r="A256" s="20">
        <v>227</v>
      </c>
      <c r="B256" s="20">
        <v>129</v>
      </c>
      <c r="C256" s="132" t="s">
        <v>320</v>
      </c>
      <c r="D256" s="132"/>
      <c r="E256" s="22"/>
      <c r="F256" s="22">
        <v>250000000</v>
      </c>
      <c r="G256" s="22">
        <v>200000000</v>
      </c>
      <c r="H256" s="22">
        <v>200000000</v>
      </c>
      <c r="I256" s="22"/>
      <c r="J256" s="22"/>
      <c r="K256" s="22"/>
      <c r="L256" s="13">
        <v>11642400</v>
      </c>
      <c r="M256" s="22"/>
      <c r="N256" s="22"/>
      <c r="O256" s="22"/>
      <c r="P256" s="25"/>
      <c r="Q256" s="14">
        <v>0</v>
      </c>
      <c r="R256" s="18">
        <v>0</v>
      </c>
      <c r="S256" s="26"/>
      <c r="T256" s="26"/>
      <c r="U256" s="15"/>
      <c r="V256" s="121"/>
      <c r="W256" s="19"/>
    </row>
    <row r="257" spans="1:23" s="17" customFormat="1" ht="38.1" customHeight="1">
      <c r="A257" s="20">
        <v>228</v>
      </c>
      <c r="B257" s="20">
        <v>131</v>
      </c>
      <c r="C257" s="132" t="s">
        <v>321</v>
      </c>
      <c r="D257" s="132"/>
      <c r="E257" s="22"/>
      <c r="F257" s="22">
        <v>500000000</v>
      </c>
      <c r="G257" s="22">
        <f>500000000-82000000</f>
        <v>418000000</v>
      </c>
      <c r="H257" s="22">
        <v>418000000</v>
      </c>
      <c r="I257" s="22"/>
      <c r="J257" s="22"/>
      <c r="K257" s="22"/>
      <c r="L257" s="13">
        <v>13829200</v>
      </c>
      <c r="M257" s="22"/>
      <c r="N257" s="22"/>
      <c r="O257" s="22"/>
      <c r="P257" s="25"/>
      <c r="Q257" s="14">
        <v>0</v>
      </c>
      <c r="R257" s="18">
        <v>0</v>
      </c>
      <c r="S257" s="26"/>
      <c r="T257" s="26"/>
      <c r="U257" s="15"/>
      <c r="V257" s="121"/>
      <c r="W257" s="19"/>
    </row>
    <row r="258" spans="1:23" s="17" customFormat="1" ht="38.1" customHeight="1">
      <c r="A258" s="20">
        <v>229</v>
      </c>
      <c r="B258" s="20"/>
      <c r="C258" s="132" t="s">
        <v>322</v>
      </c>
      <c r="D258" s="132"/>
      <c r="E258" s="22"/>
      <c r="F258" s="22">
        <v>20000000</v>
      </c>
      <c r="G258" s="22">
        <v>20000000</v>
      </c>
      <c r="H258" s="22">
        <v>20000000</v>
      </c>
      <c r="I258" s="22"/>
      <c r="J258" s="22"/>
      <c r="K258" s="22"/>
      <c r="L258" s="13">
        <v>10977120</v>
      </c>
      <c r="M258" s="22"/>
      <c r="N258" s="22"/>
      <c r="O258" s="22"/>
      <c r="P258" s="25"/>
      <c r="Q258" s="14">
        <v>0</v>
      </c>
      <c r="R258" s="18">
        <v>0</v>
      </c>
      <c r="S258" s="26"/>
      <c r="T258" s="26"/>
      <c r="U258" s="15"/>
      <c r="V258" s="121"/>
      <c r="W258" s="19"/>
    </row>
    <row r="259" spans="1:23" s="17" customFormat="1" ht="38.1" customHeight="1">
      <c r="A259" s="20">
        <v>230</v>
      </c>
      <c r="B259" s="20"/>
      <c r="C259" s="135" t="s">
        <v>323</v>
      </c>
      <c r="D259" s="136"/>
      <c r="E259" s="22"/>
      <c r="F259" s="22"/>
      <c r="G259" s="22">
        <v>20000000</v>
      </c>
      <c r="H259" s="22">
        <v>20000000</v>
      </c>
      <c r="I259" s="22"/>
      <c r="J259" s="22"/>
      <c r="K259" s="22"/>
      <c r="L259" s="13">
        <v>10977120</v>
      </c>
      <c r="M259" s="22"/>
      <c r="N259" s="22"/>
      <c r="O259" s="22"/>
      <c r="P259" s="25"/>
      <c r="Q259" s="14">
        <v>0</v>
      </c>
      <c r="R259" s="18">
        <v>0</v>
      </c>
      <c r="S259" s="26"/>
      <c r="T259" s="26"/>
      <c r="U259" s="15"/>
      <c r="V259" s="121"/>
      <c r="W259" s="19"/>
    </row>
    <row r="260" spans="1:23" s="17" customFormat="1" ht="38.1" customHeight="1">
      <c r="A260" s="20">
        <v>231</v>
      </c>
      <c r="B260" s="20"/>
      <c r="C260" s="135" t="s">
        <v>324</v>
      </c>
      <c r="D260" s="136"/>
      <c r="E260" s="22"/>
      <c r="F260" s="22">
        <v>0</v>
      </c>
      <c r="G260" s="22"/>
      <c r="H260" s="22"/>
      <c r="I260" s="22"/>
      <c r="J260" s="22"/>
      <c r="K260" s="22"/>
      <c r="L260" s="13">
        <v>0</v>
      </c>
      <c r="M260" s="22"/>
      <c r="N260" s="22"/>
      <c r="O260" s="22"/>
      <c r="P260" s="25"/>
      <c r="Q260" s="14">
        <v>0</v>
      </c>
      <c r="R260" s="18">
        <v>0</v>
      </c>
      <c r="S260" s="26"/>
      <c r="T260" s="26"/>
      <c r="U260" s="15"/>
      <c r="V260" s="100"/>
      <c r="W260" s="19"/>
    </row>
    <row r="261" spans="1:23" s="17" customFormat="1" ht="44.25" customHeight="1">
      <c r="A261" s="20">
        <v>232</v>
      </c>
      <c r="B261" s="20"/>
      <c r="C261" s="135" t="s">
        <v>325</v>
      </c>
      <c r="D261" s="136"/>
      <c r="E261" s="22">
        <v>44550000</v>
      </c>
      <c r="F261" s="22">
        <v>0</v>
      </c>
      <c r="G261" s="22"/>
      <c r="H261" s="22"/>
      <c r="I261" s="22"/>
      <c r="J261" s="22"/>
      <c r="K261" s="22"/>
      <c r="L261" s="13">
        <v>0</v>
      </c>
      <c r="M261" s="22"/>
      <c r="N261" s="22"/>
      <c r="O261" s="22">
        <v>60000000</v>
      </c>
      <c r="P261" s="25">
        <v>0</v>
      </c>
      <c r="Q261" s="14">
        <v>20000000</v>
      </c>
      <c r="R261" s="18">
        <v>20000000</v>
      </c>
      <c r="S261" s="34"/>
      <c r="T261" s="34"/>
      <c r="U261" s="15"/>
      <c r="V261" s="121"/>
      <c r="W261" s="19"/>
    </row>
    <row r="262" spans="1:23" s="17" customFormat="1" ht="58.5" customHeight="1">
      <c r="A262" s="20">
        <v>233</v>
      </c>
      <c r="B262" s="21" t="s">
        <v>88</v>
      </c>
      <c r="C262" s="132" t="s">
        <v>326</v>
      </c>
      <c r="D262" s="132"/>
      <c r="E262" s="24"/>
      <c r="F262" s="24">
        <v>60000000</v>
      </c>
      <c r="G262" s="24">
        <v>40000000</v>
      </c>
      <c r="H262" s="24">
        <v>40000000</v>
      </c>
      <c r="I262" s="22"/>
      <c r="J262" s="22"/>
      <c r="K262" s="22"/>
      <c r="L262" s="13">
        <v>0</v>
      </c>
      <c r="M262" s="22"/>
      <c r="N262" s="22"/>
      <c r="O262" s="24"/>
      <c r="P262" s="25">
        <v>1061368402</v>
      </c>
      <c r="Q262" s="14">
        <v>144505278.40000001</v>
      </c>
      <c r="R262" s="18">
        <v>1205873680.4000001</v>
      </c>
      <c r="S262" s="34"/>
      <c r="T262" s="34"/>
      <c r="U262" s="15"/>
      <c r="V262" s="121"/>
      <c r="W262" s="19"/>
    </row>
    <row r="263" spans="1:23" s="17" customFormat="1" ht="46.5" customHeight="1">
      <c r="A263" s="20">
        <v>234</v>
      </c>
      <c r="B263" s="21" t="s">
        <v>88</v>
      </c>
      <c r="C263" s="135" t="s">
        <v>327</v>
      </c>
      <c r="D263" s="136"/>
      <c r="E263" s="22"/>
      <c r="F263" s="22">
        <v>700000000</v>
      </c>
      <c r="G263" s="22">
        <v>500000000</v>
      </c>
      <c r="H263" s="22">
        <v>500000000</v>
      </c>
      <c r="I263" s="22">
        <v>3854119026.8800001</v>
      </c>
      <c r="J263" s="22"/>
      <c r="K263" s="27">
        <v>4861193669.8000002</v>
      </c>
      <c r="L263" s="13">
        <v>0</v>
      </c>
      <c r="M263" s="22"/>
      <c r="N263" s="22"/>
      <c r="O263" s="24"/>
      <c r="P263" s="25">
        <v>0</v>
      </c>
      <c r="Q263" s="14">
        <v>384000000</v>
      </c>
      <c r="R263" s="18">
        <v>384000000</v>
      </c>
      <c r="S263" s="34"/>
      <c r="T263" s="34"/>
      <c r="U263" s="15"/>
      <c r="V263" s="121"/>
      <c r="W263" s="19"/>
    </row>
    <row r="264" spans="1:23" s="17" customFormat="1" ht="30" customHeight="1">
      <c r="A264" s="20">
        <v>235</v>
      </c>
      <c r="B264" s="21" t="s">
        <v>88</v>
      </c>
      <c r="C264" s="132" t="s">
        <v>328</v>
      </c>
      <c r="D264" s="132"/>
      <c r="E264" s="24"/>
      <c r="F264" s="24">
        <v>2639985</v>
      </c>
      <c r="G264" s="24">
        <v>2639985</v>
      </c>
      <c r="H264" s="24">
        <v>2639985</v>
      </c>
      <c r="I264" s="49"/>
      <c r="J264" s="49"/>
      <c r="K264" s="49"/>
      <c r="L264" s="13">
        <v>0</v>
      </c>
      <c r="M264" s="22"/>
      <c r="N264" s="22"/>
      <c r="O264" s="24">
        <v>10000000</v>
      </c>
      <c r="P264" s="25">
        <v>0</v>
      </c>
      <c r="Q264" s="14">
        <v>6840000</v>
      </c>
      <c r="R264" s="18">
        <v>6840000</v>
      </c>
      <c r="S264" s="34"/>
      <c r="T264" s="34"/>
      <c r="U264" s="15"/>
      <c r="V264" s="121"/>
      <c r="W264" s="19"/>
    </row>
    <row r="265" spans="1:23" s="17" customFormat="1" ht="28.5" customHeight="1">
      <c r="A265" s="20">
        <v>236</v>
      </c>
      <c r="B265" s="133" t="s">
        <v>88</v>
      </c>
      <c r="C265" s="132" t="s">
        <v>329</v>
      </c>
      <c r="D265" s="132"/>
      <c r="E265" s="22">
        <v>10000</v>
      </c>
      <c r="F265" s="22">
        <v>0</v>
      </c>
      <c r="G265" s="22"/>
      <c r="H265" s="22"/>
      <c r="I265" s="22">
        <v>828834127.25999999</v>
      </c>
      <c r="J265" s="22"/>
      <c r="K265" s="27">
        <v>886715898.08000004</v>
      </c>
      <c r="L265" s="13">
        <v>0</v>
      </c>
      <c r="M265" s="22"/>
      <c r="N265" s="22"/>
      <c r="O265" s="24">
        <v>650000000</v>
      </c>
      <c r="P265" s="25">
        <v>0</v>
      </c>
      <c r="Q265" s="14">
        <v>200000000</v>
      </c>
      <c r="R265" s="18">
        <v>200000000</v>
      </c>
      <c r="S265" s="34"/>
      <c r="T265" s="34"/>
      <c r="U265" s="15"/>
      <c r="V265" s="117"/>
      <c r="W265" s="19"/>
    </row>
    <row r="266" spans="1:23" s="17" customFormat="1" ht="46.5" customHeight="1">
      <c r="A266" s="20">
        <v>237</v>
      </c>
      <c r="B266" s="156"/>
      <c r="C266" s="135" t="s">
        <v>330</v>
      </c>
      <c r="D266" s="136"/>
      <c r="E266" s="22"/>
      <c r="F266" s="22"/>
      <c r="G266" s="22"/>
      <c r="H266" s="22"/>
      <c r="I266" s="22">
        <v>87236722.560000002</v>
      </c>
      <c r="J266" s="22"/>
      <c r="K266" s="23">
        <v>87236722.560000002</v>
      </c>
      <c r="L266" s="13">
        <v>0</v>
      </c>
      <c r="M266" s="22"/>
      <c r="N266" s="22"/>
      <c r="O266" s="24"/>
      <c r="P266" s="25"/>
      <c r="Q266" s="14">
        <v>0</v>
      </c>
      <c r="R266" s="18">
        <v>0</v>
      </c>
      <c r="S266" s="34"/>
      <c r="T266" s="34"/>
      <c r="U266" s="15"/>
      <c r="V266" s="100"/>
      <c r="W266" s="19"/>
    </row>
    <row r="267" spans="1:23" s="17" customFormat="1" ht="51" customHeight="1">
      <c r="A267" s="20">
        <v>238</v>
      </c>
      <c r="B267" s="134"/>
      <c r="C267" s="135" t="s">
        <v>331</v>
      </c>
      <c r="D267" s="136"/>
      <c r="E267" s="22"/>
      <c r="F267" s="22"/>
      <c r="G267" s="22"/>
      <c r="H267" s="22"/>
      <c r="I267" s="22">
        <v>135840000</v>
      </c>
      <c r="J267" s="22"/>
      <c r="K267" s="23">
        <v>135840000</v>
      </c>
      <c r="L267" s="13">
        <v>0</v>
      </c>
      <c r="M267" s="22"/>
      <c r="N267" s="22"/>
      <c r="O267" s="24"/>
      <c r="P267" s="25"/>
      <c r="Q267" s="14">
        <v>0</v>
      </c>
      <c r="R267" s="18">
        <v>0</v>
      </c>
      <c r="S267" s="34"/>
      <c r="T267" s="34"/>
      <c r="U267" s="15"/>
      <c r="V267" s="100"/>
      <c r="W267" s="19"/>
    </row>
    <row r="268" spans="1:23" s="17" customFormat="1" ht="57.75" customHeight="1">
      <c r="A268" s="20">
        <v>239</v>
      </c>
      <c r="B268" s="21" t="s">
        <v>88</v>
      </c>
      <c r="C268" s="132" t="s">
        <v>332</v>
      </c>
      <c r="D268" s="132"/>
      <c r="E268" s="22"/>
      <c r="F268" s="22"/>
      <c r="G268" s="22"/>
      <c r="H268" s="22"/>
      <c r="I268" s="22"/>
      <c r="J268" s="22"/>
      <c r="K268" s="22"/>
      <c r="L268" s="13">
        <v>0</v>
      </c>
      <c r="M268" s="22"/>
      <c r="N268" s="22"/>
      <c r="O268" s="42">
        <v>5000000</v>
      </c>
      <c r="P268" s="25">
        <v>0</v>
      </c>
      <c r="Q268" s="14">
        <v>41600000</v>
      </c>
      <c r="R268" s="18">
        <v>41600000</v>
      </c>
      <c r="S268" s="34"/>
      <c r="T268" s="34"/>
      <c r="U268" s="15"/>
      <c r="V268" s="121"/>
      <c r="W268" s="19"/>
    </row>
    <row r="269" spans="1:23" s="17" customFormat="1" ht="57.75" customHeight="1">
      <c r="A269" s="20">
        <v>240</v>
      </c>
      <c r="B269" s="21" t="s">
        <v>88</v>
      </c>
      <c r="C269" s="132" t="s">
        <v>333</v>
      </c>
      <c r="D269" s="132"/>
      <c r="E269" s="22"/>
      <c r="F269" s="22"/>
      <c r="G269" s="22"/>
      <c r="H269" s="22"/>
      <c r="I269" s="22"/>
      <c r="J269" s="22"/>
      <c r="K269" s="22"/>
      <c r="L269" s="13">
        <v>0</v>
      </c>
      <c r="M269" s="22"/>
      <c r="N269" s="22"/>
      <c r="O269" s="24">
        <v>18000000</v>
      </c>
      <c r="P269" s="25">
        <v>0</v>
      </c>
      <c r="Q269" s="14">
        <v>29640000</v>
      </c>
      <c r="R269" s="18">
        <v>29640000</v>
      </c>
      <c r="S269" s="34"/>
      <c r="T269" s="34"/>
      <c r="U269" s="15"/>
      <c r="V269" s="121"/>
      <c r="W269" s="19"/>
    </row>
    <row r="270" spans="1:23" s="17" customFormat="1" ht="46.5" customHeight="1">
      <c r="A270" s="129" t="s">
        <v>334</v>
      </c>
      <c r="B270" s="130"/>
      <c r="C270" s="130"/>
      <c r="D270" s="131"/>
      <c r="E270" s="13">
        <f t="shared" ref="E270:O270" si="45">SUM(E271,E277)</f>
        <v>219200000</v>
      </c>
      <c r="F270" s="13">
        <f t="shared" si="45"/>
        <v>13000000</v>
      </c>
      <c r="G270" s="13">
        <f t="shared" si="45"/>
        <v>13000000</v>
      </c>
      <c r="H270" s="13">
        <f t="shared" si="45"/>
        <v>13000000</v>
      </c>
      <c r="I270" s="13">
        <f t="shared" si="45"/>
        <v>695450187.16999996</v>
      </c>
      <c r="J270" s="13">
        <f t="shared" si="45"/>
        <v>329807432.44</v>
      </c>
      <c r="K270" s="13">
        <f t="shared" si="45"/>
        <v>751691896.08000004</v>
      </c>
      <c r="L270" s="13">
        <v>762404490.83450007</v>
      </c>
      <c r="M270" s="13">
        <f t="shared" si="45"/>
        <v>0</v>
      </c>
      <c r="N270" s="13">
        <f t="shared" si="45"/>
        <v>0</v>
      </c>
      <c r="O270" s="13">
        <f t="shared" si="45"/>
        <v>836428984.20999992</v>
      </c>
      <c r="P270" s="14">
        <v>79826236.879999995</v>
      </c>
      <c r="Q270" s="14">
        <v>188849102.49599999</v>
      </c>
      <c r="R270" s="14">
        <v>268675339.37599999</v>
      </c>
      <c r="S270" s="15"/>
      <c r="T270" s="15"/>
      <c r="U270" s="15"/>
      <c r="V270" s="100"/>
      <c r="W270" s="19"/>
    </row>
    <row r="271" spans="1:23" s="17" customFormat="1" ht="30" customHeight="1">
      <c r="A271" s="129" t="s">
        <v>335</v>
      </c>
      <c r="B271" s="130"/>
      <c r="C271" s="130"/>
      <c r="D271" s="131"/>
      <c r="E271" s="13">
        <f t="shared" ref="E271:O271" si="46">SUM(E272:E276)</f>
        <v>69200000</v>
      </c>
      <c r="F271" s="13">
        <f t="shared" si="46"/>
        <v>8000000</v>
      </c>
      <c r="G271" s="13">
        <f t="shared" si="46"/>
        <v>8000000</v>
      </c>
      <c r="H271" s="13">
        <f t="shared" si="46"/>
        <v>8000000</v>
      </c>
      <c r="I271" s="13">
        <f t="shared" si="46"/>
        <v>516185570.07999998</v>
      </c>
      <c r="J271" s="13">
        <f t="shared" si="46"/>
        <v>258092785</v>
      </c>
      <c r="K271" s="13">
        <f t="shared" si="46"/>
        <v>597425124.72000003</v>
      </c>
      <c r="L271" s="13">
        <v>490903590.83450001</v>
      </c>
      <c r="M271" s="13">
        <f t="shared" si="46"/>
        <v>0</v>
      </c>
      <c r="N271" s="13">
        <f t="shared" si="46"/>
        <v>0</v>
      </c>
      <c r="O271" s="13">
        <f t="shared" si="46"/>
        <v>292004352.52999997</v>
      </c>
      <c r="P271" s="14">
        <v>33852615</v>
      </c>
      <c r="Q271" s="14">
        <v>8028000</v>
      </c>
      <c r="R271" s="14">
        <v>41880615</v>
      </c>
      <c r="S271" s="15"/>
      <c r="T271" s="15"/>
      <c r="U271" s="15"/>
      <c r="V271" s="100"/>
      <c r="W271" s="19"/>
    </row>
    <row r="272" spans="1:23" s="17" customFormat="1" ht="43.5" customHeight="1">
      <c r="A272" s="20">
        <v>241</v>
      </c>
      <c r="B272" s="157" t="s">
        <v>336</v>
      </c>
      <c r="C272" s="132" t="s">
        <v>337</v>
      </c>
      <c r="D272" s="132"/>
      <c r="E272" s="22">
        <v>69200000</v>
      </c>
      <c r="F272" s="22">
        <v>0</v>
      </c>
      <c r="G272" s="22"/>
      <c r="H272" s="22"/>
      <c r="I272" s="24">
        <v>516185570.07999998</v>
      </c>
      <c r="J272" s="24">
        <v>258092785</v>
      </c>
      <c r="K272" s="65">
        <v>597425124.72000003</v>
      </c>
      <c r="L272" s="13">
        <v>240903590.83450001</v>
      </c>
      <c r="M272" s="24"/>
      <c r="N272" s="24"/>
      <c r="O272" s="22">
        <v>292004352.52999997</v>
      </c>
      <c r="P272" s="25"/>
      <c r="Q272" s="14">
        <v>0</v>
      </c>
      <c r="R272" s="18">
        <v>0</v>
      </c>
      <c r="S272" s="26"/>
      <c r="T272" s="26"/>
      <c r="U272" s="15"/>
      <c r="V272" s="122"/>
      <c r="W272" s="19"/>
    </row>
    <row r="273" spans="1:23" s="17" customFormat="1" ht="37.5" customHeight="1">
      <c r="A273" s="20">
        <v>242</v>
      </c>
      <c r="B273" s="157"/>
      <c r="C273" s="132" t="s">
        <v>338</v>
      </c>
      <c r="D273" s="132"/>
      <c r="E273" s="22"/>
      <c r="F273" s="22">
        <v>0</v>
      </c>
      <c r="G273" s="22"/>
      <c r="H273" s="22"/>
      <c r="I273" s="22"/>
      <c r="J273" s="22"/>
      <c r="K273" s="22"/>
      <c r="L273" s="22">
        <v>250000000</v>
      </c>
      <c r="M273" s="22"/>
      <c r="N273" s="22"/>
      <c r="O273" s="22"/>
      <c r="P273" s="25"/>
      <c r="Q273" s="14">
        <v>0</v>
      </c>
      <c r="R273" s="18">
        <v>0</v>
      </c>
      <c r="S273" s="26"/>
      <c r="T273" s="26"/>
      <c r="U273" s="15"/>
      <c r="V273" s="122"/>
      <c r="W273" s="19"/>
    </row>
    <row r="274" spans="1:23" s="17" customFormat="1" ht="33" customHeight="1">
      <c r="A274" s="20">
        <v>243</v>
      </c>
      <c r="B274" s="21" t="s">
        <v>88</v>
      </c>
      <c r="C274" s="132" t="s">
        <v>339</v>
      </c>
      <c r="D274" s="132"/>
      <c r="E274" s="22"/>
      <c r="F274" s="22">
        <v>8000000</v>
      </c>
      <c r="G274" s="22">
        <v>8000000</v>
      </c>
      <c r="H274" s="22">
        <v>8000000</v>
      </c>
      <c r="I274" s="22"/>
      <c r="J274" s="22"/>
      <c r="K274" s="22"/>
      <c r="L274" s="13">
        <v>0</v>
      </c>
      <c r="M274" s="22"/>
      <c r="N274" s="22"/>
      <c r="O274" s="24"/>
      <c r="P274" s="25">
        <v>33852615</v>
      </c>
      <c r="Q274" s="14">
        <v>0</v>
      </c>
      <c r="R274" s="18">
        <v>33852615</v>
      </c>
      <c r="S274" s="34"/>
      <c r="T274" s="34"/>
      <c r="U274" s="15"/>
      <c r="V274" s="122"/>
      <c r="W274" s="19"/>
    </row>
    <row r="275" spans="1:23" s="17" customFormat="1" ht="41.25" customHeight="1">
      <c r="A275" s="20">
        <v>244</v>
      </c>
      <c r="B275" s="21" t="s">
        <v>88</v>
      </c>
      <c r="C275" s="132" t="s">
        <v>340</v>
      </c>
      <c r="D275" s="132"/>
      <c r="E275" s="22"/>
      <c r="F275" s="22"/>
      <c r="G275" s="22"/>
      <c r="H275" s="22"/>
      <c r="I275" s="22"/>
      <c r="J275" s="22"/>
      <c r="K275" s="22"/>
      <c r="L275" s="13">
        <v>0</v>
      </c>
      <c r="M275" s="22"/>
      <c r="N275" s="22"/>
      <c r="O275" s="24"/>
      <c r="P275" s="25">
        <v>0</v>
      </c>
      <c r="Q275" s="14">
        <v>4560000</v>
      </c>
      <c r="R275" s="18">
        <v>4560000</v>
      </c>
      <c r="S275" s="34"/>
      <c r="T275" s="34"/>
      <c r="U275" s="15"/>
      <c r="V275" s="122"/>
      <c r="W275" s="19"/>
    </row>
    <row r="276" spans="1:23" s="17" customFormat="1" ht="39.75" customHeight="1">
      <c r="A276" s="20">
        <v>245</v>
      </c>
      <c r="B276" s="21" t="s">
        <v>88</v>
      </c>
      <c r="C276" s="132" t="s">
        <v>341</v>
      </c>
      <c r="D276" s="132"/>
      <c r="E276" s="22"/>
      <c r="F276" s="22"/>
      <c r="G276" s="22"/>
      <c r="H276" s="22"/>
      <c r="I276" s="22"/>
      <c r="J276" s="22"/>
      <c r="K276" s="22"/>
      <c r="L276" s="13">
        <v>0</v>
      </c>
      <c r="M276" s="22"/>
      <c r="N276" s="22"/>
      <c r="O276" s="24"/>
      <c r="P276" s="25">
        <v>0</v>
      </c>
      <c r="Q276" s="14">
        <v>3468000</v>
      </c>
      <c r="R276" s="18">
        <v>3468000</v>
      </c>
      <c r="S276" s="34"/>
      <c r="T276" s="34"/>
      <c r="U276" s="15"/>
      <c r="V276" s="122"/>
      <c r="W276" s="19"/>
    </row>
    <row r="277" spans="1:23" s="17" customFormat="1" ht="30" customHeight="1">
      <c r="A277" s="129" t="s">
        <v>342</v>
      </c>
      <c r="B277" s="130"/>
      <c r="C277" s="130"/>
      <c r="D277" s="131"/>
      <c r="E277" s="13">
        <f t="shared" ref="E277:O277" si="47">SUM(E278:E287)</f>
        <v>150000000</v>
      </c>
      <c r="F277" s="13">
        <f t="shared" si="47"/>
        <v>5000000</v>
      </c>
      <c r="G277" s="13">
        <f t="shared" si="47"/>
        <v>5000000</v>
      </c>
      <c r="H277" s="13">
        <f t="shared" si="47"/>
        <v>5000000</v>
      </c>
      <c r="I277" s="13">
        <f t="shared" si="47"/>
        <v>179264617.09</v>
      </c>
      <c r="J277" s="13">
        <f t="shared" si="47"/>
        <v>71714647.439999998</v>
      </c>
      <c r="K277" s="13">
        <f t="shared" si="47"/>
        <v>154266771.36000001</v>
      </c>
      <c r="L277" s="13">
        <v>271500900</v>
      </c>
      <c r="M277" s="13">
        <f t="shared" si="47"/>
        <v>0</v>
      </c>
      <c r="N277" s="13">
        <f t="shared" si="47"/>
        <v>0</v>
      </c>
      <c r="O277" s="13">
        <f t="shared" si="47"/>
        <v>544424631.67999995</v>
      </c>
      <c r="P277" s="14">
        <v>45973621.880000003</v>
      </c>
      <c r="Q277" s="14">
        <v>180821102.49599999</v>
      </c>
      <c r="R277" s="14">
        <v>226794724.37599999</v>
      </c>
      <c r="S277" s="15"/>
      <c r="T277" s="15"/>
      <c r="U277" s="15"/>
      <c r="V277" s="100"/>
      <c r="W277" s="19"/>
    </row>
    <row r="278" spans="1:23" s="17" customFormat="1" ht="47.25" customHeight="1">
      <c r="A278" s="20">
        <v>246</v>
      </c>
      <c r="B278" s="133" t="s">
        <v>343</v>
      </c>
      <c r="C278" s="135" t="s">
        <v>344</v>
      </c>
      <c r="D278" s="136"/>
      <c r="E278" s="22">
        <v>90000000</v>
      </c>
      <c r="F278" s="22"/>
      <c r="G278" s="22"/>
      <c r="H278" s="22"/>
      <c r="I278" s="24">
        <v>125701802.29000001</v>
      </c>
      <c r="J278" s="24">
        <v>71714647.439999998</v>
      </c>
      <c r="K278" s="23">
        <v>154266771.36000001</v>
      </c>
      <c r="L278" s="13">
        <v>109250900</v>
      </c>
      <c r="M278" s="24">
        <v>0</v>
      </c>
      <c r="N278" s="24">
        <v>0</v>
      </c>
      <c r="O278" s="24">
        <v>544424631.67999995</v>
      </c>
      <c r="P278" s="25"/>
      <c r="Q278" s="14">
        <v>0</v>
      </c>
      <c r="R278" s="18">
        <v>0</v>
      </c>
      <c r="S278" s="26"/>
      <c r="T278" s="26"/>
      <c r="U278" s="15"/>
      <c r="V278" s="122"/>
      <c r="W278" s="19"/>
    </row>
    <row r="279" spans="1:23" s="17" customFormat="1" ht="36" customHeight="1">
      <c r="A279" s="20">
        <v>247</v>
      </c>
      <c r="B279" s="156"/>
      <c r="C279" s="135" t="s">
        <v>345</v>
      </c>
      <c r="D279" s="136"/>
      <c r="E279" s="22"/>
      <c r="F279" s="22"/>
      <c r="G279" s="22"/>
      <c r="H279" s="22"/>
      <c r="I279" s="24"/>
      <c r="J279" s="24"/>
      <c r="K279" s="24"/>
      <c r="L279" s="13">
        <v>0</v>
      </c>
      <c r="M279" s="24"/>
      <c r="N279" s="24"/>
      <c r="O279" s="24"/>
      <c r="P279" s="25"/>
      <c r="Q279" s="14">
        <v>0</v>
      </c>
      <c r="R279" s="18">
        <v>0</v>
      </c>
      <c r="S279" s="26"/>
      <c r="T279" s="26"/>
      <c r="U279" s="15"/>
      <c r="V279" s="100"/>
      <c r="W279" s="19"/>
    </row>
    <row r="280" spans="1:23" s="17" customFormat="1" ht="47.25" customHeight="1">
      <c r="A280" s="20">
        <v>248</v>
      </c>
      <c r="B280" s="156"/>
      <c r="C280" s="135" t="s">
        <v>346</v>
      </c>
      <c r="D280" s="136"/>
      <c r="E280" s="22"/>
      <c r="F280" s="22"/>
      <c r="G280" s="22"/>
      <c r="H280" s="22"/>
      <c r="I280" s="24"/>
      <c r="J280" s="24"/>
      <c r="K280" s="24"/>
      <c r="L280" s="13">
        <v>0</v>
      </c>
      <c r="M280" s="24"/>
      <c r="N280" s="24"/>
      <c r="O280" s="24"/>
      <c r="P280" s="25"/>
      <c r="Q280" s="14">
        <v>0</v>
      </c>
      <c r="R280" s="18">
        <v>0</v>
      </c>
      <c r="S280" s="26"/>
      <c r="T280" s="26"/>
      <c r="U280" s="15"/>
      <c r="V280" s="100"/>
      <c r="W280" s="19"/>
    </row>
    <row r="281" spans="1:23" s="17" customFormat="1" ht="47.25" customHeight="1">
      <c r="A281" s="20">
        <v>249</v>
      </c>
      <c r="B281" s="156"/>
      <c r="C281" s="135" t="s">
        <v>347</v>
      </c>
      <c r="D281" s="136"/>
      <c r="E281" s="22"/>
      <c r="F281" s="22"/>
      <c r="G281" s="22"/>
      <c r="H281" s="22"/>
      <c r="I281" s="24"/>
      <c r="J281" s="24"/>
      <c r="K281" s="24"/>
      <c r="L281" s="13">
        <v>33000000</v>
      </c>
      <c r="M281" s="24"/>
      <c r="N281" s="24"/>
      <c r="O281" s="24"/>
      <c r="P281" s="25"/>
      <c r="Q281" s="14">
        <v>0</v>
      </c>
      <c r="R281" s="18">
        <v>0</v>
      </c>
      <c r="S281" s="26"/>
      <c r="T281" s="26"/>
      <c r="U281" s="15"/>
      <c r="V281" s="122"/>
      <c r="W281" s="19"/>
    </row>
    <row r="282" spans="1:23" s="17" customFormat="1" ht="50.25" customHeight="1">
      <c r="A282" s="20">
        <v>250</v>
      </c>
      <c r="B282" s="156"/>
      <c r="C282" s="132" t="s">
        <v>348</v>
      </c>
      <c r="D282" s="132"/>
      <c r="E282" s="22"/>
      <c r="F282" s="22"/>
      <c r="G282" s="22"/>
      <c r="H282" s="22"/>
      <c r="I282" s="24"/>
      <c r="J282" s="24"/>
      <c r="K282" s="24"/>
      <c r="L282" s="13">
        <v>110000000</v>
      </c>
      <c r="M282" s="22"/>
      <c r="N282" s="22"/>
      <c r="O282" s="22"/>
      <c r="P282" s="25"/>
      <c r="Q282" s="14">
        <v>0</v>
      </c>
      <c r="R282" s="18">
        <v>0</v>
      </c>
      <c r="S282" s="26"/>
      <c r="T282" s="26"/>
      <c r="U282" s="15"/>
      <c r="V282" s="122"/>
      <c r="W282" s="19"/>
    </row>
    <row r="283" spans="1:23" s="17" customFormat="1" ht="30" customHeight="1">
      <c r="A283" s="20">
        <v>251</v>
      </c>
      <c r="B283" s="156"/>
      <c r="C283" s="135" t="s">
        <v>349</v>
      </c>
      <c r="D283" s="136"/>
      <c r="E283" s="22"/>
      <c r="F283" s="22"/>
      <c r="G283" s="22"/>
      <c r="H283" s="22"/>
      <c r="I283" s="24"/>
      <c r="J283" s="24"/>
      <c r="K283" s="24"/>
      <c r="L283" s="13">
        <v>19250000</v>
      </c>
      <c r="M283" s="22"/>
      <c r="N283" s="22"/>
      <c r="O283" s="22"/>
      <c r="P283" s="25"/>
      <c r="Q283" s="14">
        <v>0</v>
      </c>
      <c r="R283" s="18">
        <v>0</v>
      </c>
      <c r="S283" s="26"/>
      <c r="T283" s="26"/>
      <c r="U283" s="15"/>
      <c r="V283" s="123"/>
      <c r="W283" s="19"/>
    </row>
    <row r="284" spans="1:23" s="17" customFormat="1" ht="78" hidden="1" customHeight="1">
      <c r="A284" s="20">
        <v>252</v>
      </c>
      <c r="B284" s="134"/>
      <c r="C284" s="135" t="s">
        <v>350</v>
      </c>
      <c r="D284" s="136"/>
      <c r="E284" s="22"/>
      <c r="F284" s="22"/>
      <c r="G284" s="22"/>
      <c r="H284" s="22"/>
      <c r="I284" s="24">
        <v>53562814.799999997</v>
      </c>
      <c r="J284" s="24">
        <v>0</v>
      </c>
      <c r="K284" s="24"/>
      <c r="L284" s="13">
        <v>0</v>
      </c>
      <c r="M284" s="22"/>
      <c r="N284" s="22"/>
      <c r="O284" s="22"/>
      <c r="P284" s="25"/>
      <c r="Q284" s="14">
        <v>0</v>
      </c>
      <c r="R284" s="18">
        <v>0</v>
      </c>
      <c r="S284" s="26"/>
      <c r="T284" s="26"/>
      <c r="U284" s="15"/>
      <c r="V284" s="124"/>
      <c r="W284" s="19"/>
    </row>
    <row r="285" spans="1:23" s="17" customFormat="1" ht="33" customHeight="1">
      <c r="A285" s="20">
        <v>253</v>
      </c>
      <c r="B285" s="21" t="s">
        <v>88</v>
      </c>
      <c r="C285" s="132" t="s">
        <v>351</v>
      </c>
      <c r="D285" s="132"/>
      <c r="E285" s="22">
        <v>60000000</v>
      </c>
      <c r="F285" s="22"/>
      <c r="G285" s="22"/>
      <c r="H285" s="22"/>
      <c r="I285" s="24"/>
      <c r="J285" s="24"/>
      <c r="K285" s="24"/>
      <c r="L285" s="13">
        <v>0</v>
      </c>
      <c r="M285" s="22"/>
      <c r="N285" s="22"/>
      <c r="O285" s="24"/>
      <c r="P285" s="25">
        <v>7018656.8799999999</v>
      </c>
      <c r="Q285" s="14">
        <v>24785074.495999999</v>
      </c>
      <c r="R285" s="18">
        <v>31803731.375999998</v>
      </c>
      <c r="S285" s="34"/>
      <c r="T285" s="34"/>
      <c r="U285" s="15"/>
      <c r="V285" s="122"/>
      <c r="W285" s="19"/>
    </row>
    <row r="286" spans="1:23" s="17" customFormat="1" ht="30" customHeight="1">
      <c r="A286" s="20">
        <v>254</v>
      </c>
      <c r="B286" s="167" t="s">
        <v>88</v>
      </c>
      <c r="C286" s="132" t="s">
        <v>352</v>
      </c>
      <c r="D286" s="132"/>
      <c r="E286" s="22"/>
      <c r="F286" s="22">
        <v>5000000</v>
      </c>
      <c r="G286" s="22">
        <v>5000000</v>
      </c>
      <c r="H286" s="22">
        <v>5000000</v>
      </c>
      <c r="I286" s="22"/>
      <c r="J286" s="22"/>
      <c r="K286" s="22"/>
      <c r="L286" s="13">
        <v>0</v>
      </c>
      <c r="M286" s="22"/>
      <c r="N286" s="22"/>
      <c r="O286" s="24"/>
      <c r="P286" s="25">
        <v>38954965</v>
      </c>
      <c r="Q286" s="14">
        <v>36036028</v>
      </c>
      <c r="R286" s="18">
        <v>74990993</v>
      </c>
      <c r="S286" s="34"/>
      <c r="T286" s="34"/>
      <c r="U286" s="15"/>
      <c r="V286" s="122"/>
      <c r="W286" s="19"/>
    </row>
    <row r="287" spans="1:23" s="17" customFormat="1" ht="51.75" customHeight="1">
      <c r="A287" s="20">
        <v>255</v>
      </c>
      <c r="B287" s="167"/>
      <c r="C287" s="132" t="s">
        <v>353</v>
      </c>
      <c r="D287" s="132"/>
      <c r="E287" s="22"/>
      <c r="F287" s="22"/>
      <c r="G287" s="22"/>
      <c r="H287" s="22"/>
      <c r="I287" s="22"/>
      <c r="J287" s="22"/>
      <c r="K287" s="22"/>
      <c r="L287" s="13">
        <v>0</v>
      </c>
      <c r="M287" s="22"/>
      <c r="N287" s="22"/>
      <c r="O287" s="24"/>
      <c r="P287" s="25">
        <v>0</v>
      </c>
      <c r="Q287" s="14">
        <v>120000000</v>
      </c>
      <c r="R287" s="18">
        <v>120000000</v>
      </c>
      <c r="S287" s="34"/>
      <c r="T287" s="34"/>
      <c r="U287" s="15"/>
      <c r="V287" s="122"/>
      <c r="W287" s="19"/>
    </row>
    <row r="288" spans="1:23" s="17" customFormat="1" ht="52.5" hidden="1" customHeight="1">
      <c r="A288" s="139" t="s">
        <v>354</v>
      </c>
      <c r="B288" s="140"/>
      <c r="C288" s="140"/>
      <c r="D288" s="141"/>
      <c r="E288" s="13">
        <f t="shared" ref="E288:O288" si="48">E289</f>
        <v>1005774275</v>
      </c>
      <c r="F288" s="13">
        <f t="shared" si="48"/>
        <v>4163175033</v>
      </c>
      <c r="G288" s="13">
        <f t="shared" si="48"/>
        <v>4164803531</v>
      </c>
      <c r="H288" s="13">
        <f t="shared" si="48"/>
        <v>4164803531</v>
      </c>
      <c r="I288" s="13">
        <f t="shared" si="48"/>
        <v>37301761011.090004</v>
      </c>
      <c r="J288" s="13">
        <f t="shared" si="48"/>
        <v>15543596738.83</v>
      </c>
      <c r="K288" s="13">
        <f t="shared" si="48"/>
        <v>39356176389.569984</v>
      </c>
      <c r="L288" s="13">
        <v>1465554243.3000002</v>
      </c>
      <c r="M288" s="13">
        <f t="shared" si="48"/>
        <v>0</v>
      </c>
      <c r="N288" s="13">
        <f t="shared" si="48"/>
        <v>0</v>
      </c>
      <c r="O288" s="13">
        <f t="shared" si="48"/>
        <v>12274699747</v>
      </c>
      <c r="P288" s="14">
        <v>8447589706</v>
      </c>
      <c r="Q288" s="14">
        <v>3615111679.1999998</v>
      </c>
      <c r="R288" s="18">
        <v>12062701385.200001</v>
      </c>
      <c r="S288" s="15"/>
      <c r="T288" s="15"/>
      <c r="U288" s="15"/>
      <c r="V288" s="100"/>
      <c r="W288" s="19"/>
    </row>
    <row r="289" spans="1:23" s="17" customFormat="1" ht="39.75" customHeight="1">
      <c r="A289" s="139" t="s">
        <v>354</v>
      </c>
      <c r="B289" s="140"/>
      <c r="C289" s="140"/>
      <c r="D289" s="141"/>
      <c r="E289" s="13">
        <f t="shared" ref="E289:O289" si="49">SUM(E290:E320)</f>
        <v>1005774275</v>
      </c>
      <c r="F289" s="13">
        <f t="shared" si="49"/>
        <v>4163175033</v>
      </c>
      <c r="G289" s="13">
        <f t="shared" si="49"/>
        <v>4164803531</v>
      </c>
      <c r="H289" s="13">
        <f t="shared" si="49"/>
        <v>4164803531</v>
      </c>
      <c r="I289" s="13">
        <f t="shared" si="49"/>
        <v>37301761011.090004</v>
      </c>
      <c r="J289" s="13">
        <f t="shared" si="49"/>
        <v>15543596738.83</v>
      </c>
      <c r="K289" s="13">
        <f t="shared" si="49"/>
        <v>39356176389.569984</v>
      </c>
      <c r="L289" s="13">
        <v>1465554243.3000002</v>
      </c>
      <c r="M289" s="13">
        <f t="shared" si="49"/>
        <v>0</v>
      </c>
      <c r="N289" s="13">
        <f t="shared" si="49"/>
        <v>0</v>
      </c>
      <c r="O289" s="13">
        <f t="shared" si="49"/>
        <v>12274699747</v>
      </c>
      <c r="P289" s="14">
        <v>8447589706</v>
      </c>
      <c r="Q289" s="14">
        <v>3615111679.2000003</v>
      </c>
      <c r="R289" s="14">
        <v>12062701385.199999</v>
      </c>
      <c r="S289" s="15"/>
      <c r="T289" s="15"/>
      <c r="U289" s="15"/>
      <c r="V289" s="100"/>
      <c r="W289" s="19"/>
    </row>
    <row r="290" spans="1:23" s="17" customFormat="1" ht="37.5" customHeight="1">
      <c r="A290" s="20">
        <v>256</v>
      </c>
      <c r="B290" s="21" t="s">
        <v>355</v>
      </c>
      <c r="C290" s="132" t="s">
        <v>356</v>
      </c>
      <c r="D290" s="132"/>
      <c r="E290" s="22">
        <v>314500000</v>
      </c>
      <c r="F290" s="22">
        <v>0</v>
      </c>
      <c r="G290" s="22"/>
      <c r="H290" s="22"/>
      <c r="I290" s="22">
        <v>500388184.38</v>
      </c>
      <c r="J290" s="22">
        <v>289879544</v>
      </c>
      <c r="K290" s="27">
        <v>608798408.48000002</v>
      </c>
      <c r="L290" s="13">
        <v>384211199.89999998</v>
      </c>
      <c r="M290" s="22"/>
      <c r="N290" s="22"/>
      <c r="O290" s="22">
        <f>4219032489-315779868-500000000</f>
        <v>3403252621</v>
      </c>
      <c r="P290" s="25"/>
      <c r="Q290" s="14">
        <v>0</v>
      </c>
      <c r="R290" s="18">
        <v>0</v>
      </c>
      <c r="S290" s="26"/>
      <c r="T290" s="26"/>
      <c r="U290" s="15"/>
      <c r="V290" s="121"/>
      <c r="W290" s="19"/>
    </row>
    <row r="291" spans="1:23" s="36" customFormat="1" ht="65.25" customHeight="1">
      <c r="A291" s="20">
        <v>257</v>
      </c>
      <c r="B291" s="32"/>
      <c r="C291" s="135" t="s">
        <v>357</v>
      </c>
      <c r="D291" s="136"/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0</v>
      </c>
      <c r="K291" s="22"/>
      <c r="L291" s="13">
        <v>0</v>
      </c>
      <c r="M291" s="22">
        <v>0</v>
      </c>
      <c r="N291" s="22">
        <v>0</v>
      </c>
      <c r="O291" s="22">
        <v>3498000000</v>
      </c>
      <c r="P291" s="25"/>
      <c r="Q291" s="14">
        <v>0</v>
      </c>
      <c r="R291" s="18">
        <v>0</v>
      </c>
      <c r="S291" s="26"/>
      <c r="T291" s="26"/>
      <c r="U291" s="15"/>
      <c r="V291" s="121"/>
      <c r="W291" s="19"/>
    </row>
    <row r="292" spans="1:23" s="17" customFormat="1" ht="48" customHeight="1">
      <c r="A292" s="20">
        <v>258</v>
      </c>
      <c r="B292" s="32"/>
      <c r="C292" s="135" t="s">
        <v>358</v>
      </c>
      <c r="D292" s="136"/>
      <c r="E292" s="22"/>
      <c r="F292" s="22"/>
      <c r="G292" s="22"/>
      <c r="H292" s="22"/>
      <c r="I292" s="22"/>
      <c r="J292" s="22"/>
      <c r="K292" s="22"/>
      <c r="L292" s="22">
        <v>400000000</v>
      </c>
      <c r="M292" s="22"/>
      <c r="N292" s="22"/>
      <c r="O292" s="22"/>
      <c r="P292" s="25"/>
      <c r="Q292" s="14">
        <v>0</v>
      </c>
      <c r="R292" s="18">
        <v>0</v>
      </c>
      <c r="S292" s="26"/>
      <c r="T292" s="26"/>
      <c r="U292" s="15"/>
      <c r="V292" s="100"/>
      <c r="W292" s="19"/>
    </row>
    <row r="293" spans="1:23" s="17" customFormat="1" ht="51.75" customHeight="1">
      <c r="A293" s="20">
        <v>259</v>
      </c>
      <c r="B293" s="32"/>
      <c r="C293" s="135" t="s">
        <v>359</v>
      </c>
      <c r="D293" s="136"/>
      <c r="E293" s="22"/>
      <c r="F293" s="22"/>
      <c r="G293" s="22"/>
      <c r="H293" s="22"/>
      <c r="I293" s="22"/>
      <c r="J293" s="22"/>
      <c r="K293" s="22"/>
      <c r="L293" s="13">
        <v>0</v>
      </c>
      <c r="M293" s="22"/>
      <c r="N293" s="22"/>
      <c r="O293" s="22">
        <v>385000000</v>
      </c>
      <c r="P293" s="25"/>
      <c r="Q293" s="14">
        <v>0</v>
      </c>
      <c r="R293" s="18">
        <v>0</v>
      </c>
      <c r="S293" s="26"/>
      <c r="T293" s="26"/>
      <c r="U293" s="15"/>
      <c r="V293" s="100"/>
      <c r="W293" s="19"/>
    </row>
    <row r="294" spans="1:23" s="17" customFormat="1" ht="42.75" customHeight="1">
      <c r="A294" s="20">
        <v>260</v>
      </c>
      <c r="B294" s="32"/>
      <c r="C294" s="135" t="s">
        <v>360</v>
      </c>
      <c r="D294" s="136"/>
      <c r="E294" s="22"/>
      <c r="F294" s="22"/>
      <c r="G294" s="22"/>
      <c r="H294" s="22"/>
      <c r="I294" s="22"/>
      <c r="J294" s="22"/>
      <c r="K294" s="22"/>
      <c r="L294" s="13">
        <v>0</v>
      </c>
      <c r="M294" s="22"/>
      <c r="N294" s="22"/>
      <c r="O294" s="22">
        <v>460000000</v>
      </c>
      <c r="P294" s="25"/>
      <c r="Q294" s="14">
        <v>0</v>
      </c>
      <c r="R294" s="18">
        <v>0</v>
      </c>
      <c r="S294" s="26"/>
      <c r="T294" s="26"/>
      <c r="U294" s="15"/>
      <c r="V294" s="100"/>
      <c r="W294" s="19"/>
    </row>
    <row r="295" spans="1:23" s="17" customFormat="1" ht="55.5" customHeight="1">
      <c r="A295" s="20">
        <v>261</v>
      </c>
      <c r="B295" s="133" t="s">
        <v>88</v>
      </c>
      <c r="C295" s="132" t="s">
        <v>361</v>
      </c>
      <c r="D295" s="132"/>
      <c r="E295" s="22">
        <v>0</v>
      </c>
      <c r="F295" s="22">
        <v>0</v>
      </c>
      <c r="G295" s="22">
        <v>0</v>
      </c>
      <c r="H295" s="22">
        <v>0</v>
      </c>
      <c r="I295" s="22">
        <v>590847210.5</v>
      </c>
      <c r="J295" s="22"/>
      <c r="K295" s="27">
        <v>609792033.96000004</v>
      </c>
      <c r="L295" s="13">
        <v>0</v>
      </c>
      <c r="M295" s="24"/>
      <c r="N295" s="24"/>
      <c r="O295" s="24">
        <v>110632713</v>
      </c>
      <c r="P295" s="25">
        <v>0</v>
      </c>
      <c r="Q295" s="14">
        <v>69000280.799999997</v>
      </c>
      <c r="R295" s="18">
        <v>69000280.799999997</v>
      </c>
      <c r="S295" s="34"/>
      <c r="T295" s="34"/>
      <c r="U295" s="15"/>
      <c r="V295" s="121"/>
      <c r="W295" s="19"/>
    </row>
    <row r="296" spans="1:23" s="17" customFormat="1" ht="36.75" customHeight="1">
      <c r="A296" s="20">
        <v>262</v>
      </c>
      <c r="B296" s="134"/>
      <c r="C296" s="135" t="s">
        <v>362</v>
      </c>
      <c r="D296" s="136"/>
      <c r="E296" s="22"/>
      <c r="F296" s="22">
        <v>0</v>
      </c>
      <c r="G296" s="22"/>
      <c r="H296" s="22"/>
      <c r="I296" s="22"/>
      <c r="J296" s="22"/>
      <c r="K296" s="22"/>
      <c r="L296" s="13">
        <v>0</v>
      </c>
      <c r="M296" s="24"/>
      <c r="N296" s="24"/>
      <c r="O296" s="24"/>
      <c r="P296" s="25">
        <v>0</v>
      </c>
      <c r="Q296" s="14">
        <v>195200000</v>
      </c>
      <c r="R296" s="18">
        <v>195200000</v>
      </c>
      <c r="S296" s="34"/>
      <c r="T296" s="34"/>
      <c r="U296" s="15"/>
      <c r="V296" s="121"/>
      <c r="W296" s="19"/>
    </row>
    <row r="297" spans="1:23" s="17" customFormat="1" ht="53.25" customHeight="1">
      <c r="A297" s="20">
        <v>263</v>
      </c>
      <c r="B297" s="21" t="s">
        <v>363</v>
      </c>
      <c r="C297" s="132" t="s">
        <v>364</v>
      </c>
      <c r="D297" s="132"/>
      <c r="E297" s="22">
        <v>1000000</v>
      </c>
      <c r="F297" s="22">
        <v>0</v>
      </c>
      <c r="G297" s="22"/>
      <c r="H297" s="22"/>
      <c r="I297" s="22">
        <v>153335063.97</v>
      </c>
      <c r="J297" s="22">
        <v>83394907.370000005</v>
      </c>
      <c r="K297" s="27">
        <v>203266116.72</v>
      </c>
      <c r="L297" s="13">
        <v>91698095.200000003</v>
      </c>
      <c r="M297" s="22"/>
      <c r="N297" s="22"/>
      <c r="O297" s="22">
        <v>36191988</v>
      </c>
      <c r="P297" s="25"/>
      <c r="Q297" s="14">
        <v>0</v>
      </c>
      <c r="R297" s="18">
        <v>0</v>
      </c>
      <c r="S297" s="26"/>
      <c r="T297" s="26"/>
      <c r="U297" s="15"/>
      <c r="V297" s="119"/>
      <c r="W297" s="19"/>
    </row>
    <row r="298" spans="1:23" s="17" customFormat="1" ht="66" customHeight="1">
      <c r="A298" s="20">
        <v>264</v>
      </c>
      <c r="B298" s="21" t="s">
        <v>365</v>
      </c>
      <c r="C298" s="132" t="s">
        <v>366</v>
      </c>
      <c r="D298" s="132"/>
      <c r="E298" s="22">
        <v>15000000</v>
      </c>
      <c r="F298" s="22">
        <v>0</v>
      </c>
      <c r="G298" s="22"/>
      <c r="H298" s="22"/>
      <c r="I298" s="22">
        <v>180565341.28</v>
      </c>
      <c r="J298" s="66">
        <v>104088107.33</v>
      </c>
      <c r="K298" s="27">
        <v>204415812.12</v>
      </c>
      <c r="L298" s="13">
        <v>11959766.5</v>
      </c>
      <c r="M298" s="22"/>
      <c r="N298" s="22"/>
      <c r="O298" s="67">
        <v>172436534</v>
      </c>
      <c r="P298" s="25"/>
      <c r="Q298" s="14">
        <v>0</v>
      </c>
      <c r="R298" s="18">
        <v>0</v>
      </c>
      <c r="S298" s="26"/>
      <c r="T298" s="26"/>
      <c r="U298" s="15"/>
      <c r="V298" s="121"/>
      <c r="W298" s="19"/>
    </row>
    <row r="299" spans="1:23" s="17" customFormat="1" ht="45" customHeight="1">
      <c r="A299" s="20">
        <v>265</v>
      </c>
      <c r="B299" s="21"/>
      <c r="C299" s="135" t="s">
        <v>367</v>
      </c>
      <c r="D299" s="136"/>
      <c r="E299" s="22"/>
      <c r="F299" s="22"/>
      <c r="G299" s="22"/>
      <c r="H299" s="22"/>
      <c r="I299" s="22"/>
      <c r="J299" s="22"/>
      <c r="K299" s="22"/>
      <c r="L299" s="13">
        <v>0</v>
      </c>
      <c r="M299" s="22"/>
      <c r="N299" s="22"/>
      <c r="O299" s="22"/>
      <c r="P299" s="25"/>
      <c r="Q299" s="14">
        <v>0</v>
      </c>
      <c r="R299" s="18">
        <v>0</v>
      </c>
      <c r="S299" s="26"/>
      <c r="T299" s="26"/>
      <c r="U299" s="15"/>
      <c r="V299" s="100"/>
      <c r="W299" s="19"/>
    </row>
    <row r="300" spans="1:23" s="17" customFormat="1" ht="30.75" customHeight="1">
      <c r="A300" s="20">
        <v>266</v>
      </c>
      <c r="B300" s="21" t="s">
        <v>368</v>
      </c>
      <c r="C300" s="132" t="s">
        <v>369</v>
      </c>
      <c r="D300" s="132"/>
      <c r="E300" s="22">
        <v>2100000</v>
      </c>
      <c r="F300" s="22">
        <v>0</v>
      </c>
      <c r="G300" s="22"/>
      <c r="H300" s="22"/>
      <c r="I300" s="22">
        <v>8457230438.5200005</v>
      </c>
      <c r="J300" s="22">
        <v>3805753697</v>
      </c>
      <c r="K300" s="27">
        <v>9000175117.2199898</v>
      </c>
      <c r="L300" s="13">
        <v>53264860</v>
      </c>
      <c r="M300" s="22"/>
      <c r="N300" s="22"/>
      <c r="O300" s="22"/>
      <c r="P300" s="25"/>
      <c r="Q300" s="14">
        <v>0</v>
      </c>
      <c r="R300" s="18">
        <v>0</v>
      </c>
      <c r="S300" s="26"/>
      <c r="T300" s="26"/>
      <c r="U300" s="15"/>
      <c r="V300" s="121"/>
      <c r="W300" s="19"/>
    </row>
    <row r="301" spans="1:23" s="17" customFormat="1" ht="30" customHeight="1">
      <c r="A301" s="20">
        <v>267</v>
      </c>
      <c r="B301" s="21" t="s">
        <v>370</v>
      </c>
      <c r="C301" s="132" t="s">
        <v>371</v>
      </c>
      <c r="D301" s="132"/>
      <c r="E301" s="22">
        <v>5380000</v>
      </c>
      <c r="F301" s="22">
        <v>0</v>
      </c>
      <c r="G301" s="22"/>
      <c r="H301" s="22"/>
      <c r="I301" s="22">
        <v>6075806035.4700003</v>
      </c>
      <c r="J301" s="22">
        <v>3210816886.5</v>
      </c>
      <c r="K301" s="27">
        <v>6800552041.0799999</v>
      </c>
      <c r="L301" s="13">
        <v>63723601.699999996</v>
      </c>
      <c r="M301" s="22"/>
      <c r="N301" s="22"/>
      <c r="O301" s="22"/>
      <c r="P301" s="25"/>
      <c r="Q301" s="14">
        <v>0</v>
      </c>
      <c r="R301" s="18">
        <v>0</v>
      </c>
      <c r="S301" s="26"/>
      <c r="T301" s="26"/>
      <c r="U301" s="15"/>
      <c r="V301" s="121"/>
      <c r="W301" s="19"/>
    </row>
    <row r="302" spans="1:23" s="17" customFormat="1" ht="30" customHeight="1">
      <c r="A302" s="20">
        <v>268</v>
      </c>
      <c r="B302" s="21" t="s">
        <v>372</v>
      </c>
      <c r="C302" s="132" t="s">
        <v>373</v>
      </c>
      <c r="D302" s="132"/>
      <c r="E302" s="22">
        <v>2000000</v>
      </c>
      <c r="F302" s="22">
        <v>0</v>
      </c>
      <c r="G302" s="22"/>
      <c r="H302" s="22"/>
      <c r="I302" s="22">
        <v>3694203667.4400001</v>
      </c>
      <c r="J302" s="22">
        <v>1847101833.72</v>
      </c>
      <c r="K302" s="27">
        <v>3911989417.3299999</v>
      </c>
      <c r="L302" s="13">
        <v>62959930</v>
      </c>
      <c r="M302" s="22"/>
      <c r="N302" s="22"/>
      <c r="O302" s="22"/>
      <c r="P302" s="25"/>
      <c r="Q302" s="14">
        <v>0</v>
      </c>
      <c r="R302" s="18">
        <v>0</v>
      </c>
      <c r="S302" s="26"/>
      <c r="T302" s="26"/>
      <c r="U302" s="15"/>
      <c r="V302" s="121"/>
      <c r="W302" s="19"/>
    </row>
    <row r="303" spans="1:23" s="17" customFormat="1" ht="30" customHeight="1">
      <c r="A303" s="20">
        <v>269</v>
      </c>
      <c r="B303" s="21" t="s">
        <v>374</v>
      </c>
      <c r="C303" s="132" t="s">
        <v>375</v>
      </c>
      <c r="D303" s="132"/>
      <c r="E303" s="22">
        <v>3150000</v>
      </c>
      <c r="F303" s="22">
        <v>0</v>
      </c>
      <c r="G303" s="22"/>
      <c r="H303" s="22"/>
      <c r="I303" s="22">
        <v>4889892033</v>
      </c>
      <c r="J303" s="22">
        <v>2353501073</v>
      </c>
      <c r="K303" s="27">
        <v>4633902835.9200001</v>
      </c>
      <c r="L303" s="13">
        <v>56078440</v>
      </c>
      <c r="M303" s="22"/>
      <c r="N303" s="22"/>
      <c r="O303" s="22"/>
      <c r="P303" s="25"/>
      <c r="Q303" s="14">
        <v>0</v>
      </c>
      <c r="R303" s="18">
        <v>0</v>
      </c>
      <c r="S303" s="26"/>
      <c r="T303" s="26"/>
      <c r="U303" s="15"/>
      <c r="V303" s="121"/>
      <c r="W303" s="19"/>
    </row>
    <row r="304" spans="1:23" s="17" customFormat="1" ht="30" customHeight="1">
      <c r="A304" s="20">
        <v>270</v>
      </c>
      <c r="B304" s="21" t="s">
        <v>376</v>
      </c>
      <c r="C304" s="132" t="s">
        <v>377</v>
      </c>
      <c r="D304" s="132"/>
      <c r="E304" s="22">
        <v>2047500</v>
      </c>
      <c r="F304" s="22">
        <v>0</v>
      </c>
      <c r="G304" s="22"/>
      <c r="H304" s="22"/>
      <c r="I304" s="22">
        <v>5972870977.25</v>
      </c>
      <c r="J304" s="22">
        <v>3849060689.9099998</v>
      </c>
      <c r="K304" s="27">
        <v>6083548109.2399998</v>
      </c>
      <c r="L304" s="13">
        <v>65813110</v>
      </c>
      <c r="M304" s="22"/>
      <c r="N304" s="22"/>
      <c r="O304" s="22"/>
      <c r="P304" s="25"/>
      <c r="Q304" s="14">
        <v>0</v>
      </c>
      <c r="R304" s="18">
        <v>0</v>
      </c>
      <c r="S304" s="26"/>
      <c r="T304" s="26"/>
      <c r="U304" s="15"/>
      <c r="V304" s="121"/>
      <c r="W304" s="19"/>
    </row>
    <row r="305" spans="1:23" s="17" customFormat="1" ht="41.25" customHeight="1">
      <c r="A305" s="20">
        <v>271</v>
      </c>
      <c r="B305" s="21" t="s">
        <v>378</v>
      </c>
      <c r="C305" s="132" t="s">
        <v>379</v>
      </c>
      <c r="D305" s="132"/>
      <c r="E305" s="22">
        <v>5000000</v>
      </c>
      <c r="F305" s="22">
        <v>0</v>
      </c>
      <c r="G305" s="22"/>
      <c r="H305" s="22"/>
      <c r="I305" s="22">
        <v>6786622059.2799997</v>
      </c>
      <c r="J305" s="22"/>
      <c r="K305" s="27">
        <v>7299736497.5</v>
      </c>
      <c r="L305" s="13">
        <v>61345240</v>
      </c>
      <c r="M305" s="22"/>
      <c r="N305" s="22"/>
      <c r="O305" s="22"/>
      <c r="P305" s="25"/>
      <c r="Q305" s="14">
        <v>0</v>
      </c>
      <c r="R305" s="18">
        <v>0</v>
      </c>
      <c r="S305" s="26"/>
      <c r="T305" s="26"/>
      <c r="U305" s="15"/>
      <c r="V305" s="121"/>
      <c r="W305" s="19"/>
    </row>
    <row r="306" spans="1:23" s="17" customFormat="1" ht="45.75" customHeight="1">
      <c r="A306" s="20">
        <v>273</v>
      </c>
      <c r="B306" s="21"/>
      <c r="C306" s="135" t="s">
        <v>380</v>
      </c>
      <c r="D306" s="136"/>
      <c r="E306" s="22"/>
      <c r="F306" s="22">
        <v>0</v>
      </c>
      <c r="G306" s="22"/>
      <c r="H306" s="22"/>
      <c r="I306" s="22"/>
      <c r="J306" s="22"/>
      <c r="K306" s="22"/>
      <c r="L306" s="13">
        <v>99000000</v>
      </c>
      <c r="M306" s="22"/>
      <c r="N306" s="22"/>
      <c r="O306" s="22"/>
      <c r="P306" s="25"/>
      <c r="Q306" s="14">
        <v>0</v>
      </c>
      <c r="R306" s="18">
        <v>0</v>
      </c>
      <c r="S306" s="26"/>
      <c r="T306" s="26"/>
      <c r="U306" s="15"/>
      <c r="V306" s="121"/>
      <c r="W306" s="19"/>
    </row>
    <row r="307" spans="1:23" s="17" customFormat="1" ht="30" customHeight="1">
      <c r="A307" s="20">
        <v>274</v>
      </c>
      <c r="B307" s="21"/>
      <c r="C307" s="135" t="s">
        <v>381</v>
      </c>
      <c r="D307" s="136"/>
      <c r="E307" s="22"/>
      <c r="F307" s="22">
        <v>0</v>
      </c>
      <c r="G307" s="22"/>
      <c r="H307" s="22"/>
      <c r="I307" s="22"/>
      <c r="J307" s="22"/>
      <c r="K307" s="22"/>
      <c r="L307" s="13">
        <v>115500000</v>
      </c>
      <c r="M307" s="22"/>
      <c r="N307" s="22"/>
      <c r="O307" s="22"/>
      <c r="P307" s="25"/>
      <c r="Q307" s="14">
        <v>0</v>
      </c>
      <c r="R307" s="18">
        <v>0</v>
      </c>
      <c r="S307" s="26"/>
      <c r="T307" s="26"/>
      <c r="U307" s="15"/>
      <c r="V307" s="121"/>
      <c r="W307" s="19"/>
    </row>
    <row r="308" spans="1:23" s="17" customFormat="1" ht="51" customHeight="1">
      <c r="A308" s="20">
        <v>275</v>
      </c>
      <c r="B308" s="21" t="s">
        <v>88</v>
      </c>
      <c r="C308" s="132" t="s">
        <v>382</v>
      </c>
      <c r="D308" s="132"/>
      <c r="E308" s="22">
        <v>38005000</v>
      </c>
      <c r="F308" s="22">
        <v>0</v>
      </c>
      <c r="G308" s="22"/>
      <c r="H308" s="22"/>
      <c r="I308" s="22"/>
      <c r="J308" s="22"/>
      <c r="K308" s="22"/>
      <c r="L308" s="13">
        <v>0</v>
      </c>
      <c r="M308" s="22"/>
      <c r="N308" s="22"/>
      <c r="O308" s="24">
        <v>826256584</v>
      </c>
      <c r="P308" s="25">
        <v>177036350</v>
      </c>
      <c r="Q308" s="14">
        <v>817412417.60000002</v>
      </c>
      <c r="R308" s="18">
        <v>994448767.60000002</v>
      </c>
      <c r="S308" s="34"/>
      <c r="T308" s="34"/>
      <c r="U308" s="15"/>
      <c r="V308" s="121"/>
      <c r="W308" s="19"/>
    </row>
    <row r="309" spans="1:23" s="17" customFormat="1" ht="36" customHeight="1">
      <c r="A309" s="20">
        <v>276</v>
      </c>
      <c r="B309" s="21" t="s">
        <v>88</v>
      </c>
      <c r="C309" s="132" t="s">
        <v>383</v>
      </c>
      <c r="D309" s="132"/>
      <c r="E309" s="22">
        <v>341775</v>
      </c>
      <c r="F309" s="22">
        <v>0</v>
      </c>
      <c r="G309" s="22"/>
      <c r="H309" s="22"/>
      <c r="I309" s="22"/>
      <c r="J309" s="22"/>
      <c r="K309" s="22"/>
      <c r="L309" s="13">
        <v>0</v>
      </c>
      <c r="M309" s="24"/>
      <c r="N309" s="24"/>
      <c r="O309" s="24">
        <v>9939232</v>
      </c>
      <c r="P309" s="25">
        <v>0</v>
      </c>
      <c r="Q309" s="14">
        <v>10287824.800000001</v>
      </c>
      <c r="R309" s="18">
        <v>10287824.800000001</v>
      </c>
      <c r="S309" s="34"/>
      <c r="T309" s="34"/>
      <c r="U309" s="15"/>
      <c r="V309" s="121"/>
      <c r="W309" s="19"/>
    </row>
    <row r="310" spans="1:23" s="17" customFormat="1" ht="42" customHeight="1">
      <c r="A310" s="20">
        <v>277</v>
      </c>
      <c r="B310" s="21" t="s">
        <v>88</v>
      </c>
      <c r="C310" s="132" t="s">
        <v>384</v>
      </c>
      <c r="D310" s="132"/>
      <c r="E310" s="22">
        <v>15000000</v>
      </c>
      <c r="F310" s="22">
        <v>0</v>
      </c>
      <c r="G310" s="22"/>
      <c r="H310" s="22"/>
      <c r="I310" s="22"/>
      <c r="J310" s="22"/>
      <c r="K310" s="22"/>
      <c r="L310" s="13">
        <v>0</v>
      </c>
      <c r="M310" s="24"/>
      <c r="N310" s="24"/>
      <c r="O310" s="24"/>
      <c r="P310" s="25">
        <v>9600000</v>
      </c>
      <c r="Q310" s="14">
        <v>11455123.199999999</v>
      </c>
      <c r="R310" s="18">
        <v>21055123.199999999</v>
      </c>
      <c r="S310" s="34"/>
      <c r="T310" s="34"/>
      <c r="U310" s="15"/>
      <c r="V310" s="121"/>
      <c r="W310" s="19"/>
    </row>
    <row r="311" spans="1:23" s="17" customFormat="1" ht="46.5" customHeight="1">
      <c r="A311" s="20">
        <v>278</v>
      </c>
      <c r="B311" s="133" t="s">
        <v>88</v>
      </c>
      <c r="C311" s="132" t="s">
        <v>385</v>
      </c>
      <c r="D311" s="132"/>
      <c r="E311" s="22">
        <v>600750000</v>
      </c>
      <c r="F311" s="22">
        <v>0</v>
      </c>
      <c r="G311" s="22"/>
      <c r="H311" s="22"/>
      <c r="I311" s="22"/>
      <c r="J311" s="22"/>
      <c r="K311" s="22"/>
      <c r="L311" s="13">
        <v>0</v>
      </c>
      <c r="M311" s="24"/>
      <c r="N311" s="24"/>
      <c r="O311" s="24">
        <v>76380049</v>
      </c>
      <c r="P311" s="25">
        <v>0</v>
      </c>
      <c r="Q311" s="14">
        <v>6590122.4000000004</v>
      </c>
      <c r="R311" s="18">
        <v>6590122.4000000004</v>
      </c>
      <c r="S311" s="34"/>
      <c r="T311" s="34"/>
      <c r="U311" s="15"/>
      <c r="V311" s="121"/>
      <c r="W311" s="19"/>
    </row>
    <row r="312" spans="1:23" s="17" customFormat="1" ht="45" customHeight="1">
      <c r="A312" s="20">
        <v>279</v>
      </c>
      <c r="B312" s="134"/>
      <c r="C312" s="135" t="s">
        <v>386</v>
      </c>
      <c r="D312" s="136"/>
      <c r="E312" s="22"/>
      <c r="F312" s="22">
        <v>0</v>
      </c>
      <c r="G312" s="22"/>
      <c r="H312" s="22"/>
      <c r="I312" s="22"/>
      <c r="J312" s="22"/>
      <c r="K312" s="22"/>
      <c r="L312" s="13">
        <v>0</v>
      </c>
      <c r="M312" s="24"/>
      <c r="N312" s="24"/>
      <c r="O312" s="24"/>
      <c r="P312" s="25">
        <v>0</v>
      </c>
      <c r="Q312" s="14">
        <v>116000000</v>
      </c>
      <c r="R312" s="18">
        <v>116000000</v>
      </c>
      <c r="S312" s="34"/>
      <c r="T312" s="34"/>
      <c r="U312" s="15"/>
      <c r="V312" s="121"/>
      <c r="W312" s="19"/>
    </row>
    <row r="313" spans="1:23" s="17" customFormat="1" ht="50.25" customHeight="1">
      <c r="A313" s="20">
        <v>280</v>
      </c>
      <c r="B313" s="56" t="s">
        <v>88</v>
      </c>
      <c r="C313" s="132" t="s">
        <v>387</v>
      </c>
      <c r="D313" s="132"/>
      <c r="E313" s="43"/>
      <c r="F313" s="43">
        <v>1748746702</v>
      </c>
      <c r="G313" s="43">
        <v>1749030611</v>
      </c>
      <c r="H313" s="43">
        <v>1749030611</v>
      </c>
      <c r="I313" s="22"/>
      <c r="J313" s="22"/>
      <c r="K313" s="22"/>
      <c r="L313" s="13">
        <v>0</v>
      </c>
      <c r="M313" s="24"/>
      <c r="N313" s="24"/>
      <c r="O313" s="24">
        <v>2616747448</v>
      </c>
      <c r="P313" s="25">
        <v>4397369633</v>
      </c>
      <c r="Q313" s="14">
        <v>382129827.19999999</v>
      </c>
      <c r="R313" s="18">
        <v>4779499460.1999998</v>
      </c>
      <c r="S313" s="34"/>
      <c r="T313" s="34"/>
      <c r="U313" s="15"/>
      <c r="V313" s="121"/>
      <c r="W313" s="19"/>
    </row>
    <row r="314" spans="1:23" s="17" customFormat="1" ht="72.75" customHeight="1">
      <c r="A314" s="20">
        <v>281</v>
      </c>
      <c r="B314" s="21" t="s">
        <v>88</v>
      </c>
      <c r="C314" s="132" t="s">
        <v>388</v>
      </c>
      <c r="D314" s="132"/>
      <c r="E314" s="22"/>
      <c r="F314" s="22">
        <v>933429408</v>
      </c>
      <c r="G314" s="22">
        <v>933934777</v>
      </c>
      <c r="H314" s="22">
        <v>933934777</v>
      </c>
      <c r="I314" s="22"/>
      <c r="J314" s="22"/>
      <c r="K314" s="22"/>
      <c r="L314" s="13">
        <v>0</v>
      </c>
      <c r="M314" s="22"/>
      <c r="N314" s="22"/>
      <c r="O314" s="24">
        <v>216232086</v>
      </c>
      <c r="P314" s="25">
        <v>1621740644</v>
      </c>
      <c r="Q314" s="14">
        <v>0</v>
      </c>
      <c r="R314" s="18">
        <v>1621740644</v>
      </c>
      <c r="S314" s="34"/>
      <c r="T314" s="34"/>
      <c r="U314" s="15"/>
      <c r="V314" s="121"/>
      <c r="W314" s="19"/>
    </row>
    <row r="315" spans="1:23" s="17" customFormat="1" ht="62.25" customHeight="1">
      <c r="A315" s="20">
        <v>282</v>
      </c>
      <c r="B315" s="21" t="s">
        <v>88</v>
      </c>
      <c r="C315" s="132" t="s">
        <v>389</v>
      </c>
      <c r="D315" s="132"/>
      <c r="E315" s="22"/>
      <c r="F315" s="22">
        <v>1324496623</v>
      </c>
      <c r="G315" s="22">
        <v>1325034570</v>
      </c>
      <c r="H315" s="22">
        <v>1325034570</v>
      </c>
      <c r="I315" s="22"/>
      <c r="J315" s="22"/>
      <c r="K315" s="22"/>
      <c r="L315" s="13">
        <v>0</v>
      </c>
      <c r="M315" s="22"/>
      <c r="N315" s="22"/>
      <c r="O315" s="24">
        <v>323135789</v>
      </c>
      <c r="P315" s="25">
        <v>1160014291</v>
      </c>
      <c r="Q315" s="14">
        <v>709209898.39999998</v>
      </c>
      <c r="R315" s="18">
        <v>1869224189.4000001</v>
      </c>
      <c r="S315" s="34"/>
      <c r="T315" s="34"/>
      <c r="U315" s="15"/>
      <c r="V315" s="121"/>
      <c r="W315" s="19"/>
    </row>
    <row r="316" spans="1:23" s="17" customFormat="1" ht="74.25" customHeight="1">
      <c r="A316" s="20">
        <v>283</v>
      </c>
      <c r="B316" s="21" t="s">
        <v>88</v>
      </c>
      <c r="C316" s="132" t="s">
        <v>390</v>
      </c>
      <c r="D316" s="132"/>
      <c r="E316" s="22"/>
      <c r="F316" s="22">
        <v>156502300</v>
      </c>
      <c r="G316" s="22">
        <v>156803573</v>
      </c>
      <c r="H316" s="22">
        <v>156803573</v>
      </c>
      <c r="I316" s="22"/>
      <c r="J316" s="22"/>
      <c r="K316" s="22"/>
      <c r="L316" s="13">
        <v>0</v>
      </c>
      <c r="M316" s="22"/>
      <c r="N316" s="22"/>
      <c r="O316" s="24">
        <v>140494703</v>
      </c>
      <c r="P316" s="25">
        <v>1081828788</v>
      </c>
      <c r="Q316" s="14">
        <v>0</v>
      </c>
      <c r="R316" s="18">
        <v>1081828788</v>
      </c>
      <c r="S316" s="34"/>
      <c r="T316" s="34"/>
      <c r="U316" s="15"/>
      <c r="V316" s="121"/>
      <c r="W316" s="19"/>
    </row>
    <row r="317" spans="1:23" s="17" customFormat="1" ht="61.5" customHeight="1">
      <c r="A317" s="20">
        <v>284</v>
      </c>
      <c r="B317" s="21"/>
      <c r="C317" s="135" t="s">
        <v>391</v>
      </c>
      <c r="D317" s="136"/>
      <c r="E317" s="22"/>
      <c r="F317" s="22"/>
      <c r="G317" s="22"/>
      <c r="H317" s="22"/>
      <c r="I317" s="22"/>
      <c r="J317" s="22"/>
      <c r="K317" s="22"/>
      <c r="L317" s="13">
        <v>0</v>
      </c>
      <c r="M317" s="22"/>
      <c r="N317" s="22"/>
      <c r="O317" s="24"/>
      <c r="P317" s="25">
        <v>0</v>
      </c>
      <c r="Q317" s="14">
        <v>430672800</v>
      </c>
      <c r="R317" s="18">
        <v>430672800</v>
      </c>
      <c r="S317" s="34"/>
      <c r="T317" s="34"/>
      <c r="U317" s="15"/>
      <c r="V317" s="121"/>
      <c r="W317" s="19"/>
    </row>
    <row r="318" spans="1:23" s="17" customFormat="1" ht="48" customHeight="1">
      <c r="A318" s="20">
        <v>285</v>
      </c>
      <c r="B318" s="167" t="s">
        <v>88</v>
      </c>
      <c r="C318" s="132" t="s">
        <v>392</v>
      </c>
      <c r="D318" s="132"/>
      <c r="E318" s="22">
        <v>1500000</v>
      </c>
      <c r="F318" s="22"/>
      <c r="G318" s="22"/>
      <c r="H318" s="22"/>
      <c r="I318" s="22"/>
      <c r="J318" s="22"/>
      <c r="K318" s="22"/>
      <c r="L318" s="13">
        <v>0</v>
      </c>
      <c r="M318" s="22"/>
      <c r="N318" s="22"/>
      <c r="O318" s="24"/>
      <c r="P318" s="25">
        <v>0</v>
      </c>
      <c r="Q318" s="14">
        <v>37575264.799999997</v>
      </c>
      <c r="R318" s="18">
        <v>37575264.799999997</v>
      </c>
      <c r="S318" s="34"/>
      <c r="T318" s="34"/>
      <c r="U318" s="15"/>
      <c r="V318" s="121"/>
      <c r="W318" s="19"/>
    </row>
    <row r="319" spans="1:23" s="17" customFormat="1" ht="39" customHeight="1">
      <c r="A319" s="20">
        <v>286</v>
      </c>
      <c r="B319" s="167"/>
      <c r="C319" s="132" t="s">
        <v>393</v>
      </c>
      <c r="D319" s="132"/>
      <c r="E319" s="22"/>
      <c r="F319" s="22"/>
      <c r="G319" s="22"/>
      <c r="H319" s="22"/>
      <c r="I319" s="22"/>
      <c r="J319" s="22"/>
      <c r="K319" s="22"/>
      <c r="L319" s="13">
        <v>0</v>
      </c>
      <c r="M319" s="22"/>
      <c r="N319" s="22"/>
      <c r="O319" s="24"/>
      <c r="P319" s="25">
        <v>0</v>
      </c>
      <c r="Q319" s="14">
        <v>829578120</v>
      </c>
      <c r="R319" s="18">
        <v>829578120</v>
      </c>
      <c r="S319" s="34"/>
      <c r="T319" s="34"/>
      <c r="U319" s="15"/>
      <c r="V319" s="119"/>
      <c r="W319" s="19"/>
    </row>
    <row r="320" spans="1:23" s="17" customFormat="1" ht="45.75" customHeight="1">
      <c r="A320" s="20">
        <v>287</v>
      </c>
      <c r="B320" s="167"/>
      <c r="C320" s="132" t="s">
        <v>394</v>
      </c>
      <c r="D320" s="132"/>
      <c r="E320" s="22"/>
      <c r="F320" s="22"/>
      <c r="G320" s="22"/>
      <c r="H320" s="22"/>
      <c r="I320" s="22"/>
      <c r="J320" s="22"/>
      <c r="K320" s="22"/>
      <c r="L320" s="13">
        <v>0</v>
      </c>
      <c r="M320" s="22"/>
      <c r="N320" s="22"/>
      <c r="O320" s="24"/>
      <c r="P320" s="25"/>
      <c r="Q320" s="14">
        <v>0</v>
      </c>
      <c r="R320" s="18">
        <v>0</v>
      </c>
      <c r="S320" s="34"/>
      <c r="T320" s="34"/>
      <c r="U320" s="15"/>
      <c r="V320" s="100"/>
      <c r="W320" s="19"/>
    </row>
    <row r="321" spans="1:23" s="17" customFormat="1" ht="30" customHeight="1">
      <c r="A321" s="129" t="s">
        <v>395</v>
      </c>
      <c r="B321" s="130"/>
      <c r="C321" s="130"/>
      <c r="D321" s="131"/>
      <c r="E321" s="13">
        <f>E322+E325</f>
        <v>58800000</v>
      </c>
      <c r="F321" s="13">
        <f t="shared" ref="F321:O321" si="50">F322+F325</f>
        <v>0</v>
      </c>
      <c r="G321" s="13">
        <f t="shared" si="50"/>
        <v>0</v>
      </c>
      <c r="H321" s="13">
        <f t="shared" si="50"/>
        <v>0</v>
      </c>
      <c r="I321" s="13">
        <f t="shared" si="50"/>
        <v>667306089.55999994</v>
      </c>
      <c r="J321" s="13">
        <f t="shared" si="50"/>
        <v>0</v>
      </c>
      <c r="K321" s="13">
        <f t="shared" si="50"/>
        <v>665183904.27999997</v>
      </c>
      <c r="L321" s="13">
        <v>477825091.14999998</v>
      </c>
      <c r="M321" s="13">
        <f t="shared" si="50"/>
        <v>0</v>
      </c>
      <c r="N321" s="13">
        <f t="shared" si="50"/>
        <v>0</v>
      </c>
      <c r="O321" s="13">
        <f t="shared" si="50"/>
        <v>255158681</v>
      </c>
      <c r="P321" s="14">
        <v>0</v>
      </c>
      <c r="Q321" s="14">
        <v>27157818.399999999</v>
      </c>
      <c r="R321" s="14">
        <v>27157818.399999999</v>
      </c>
      <c r="S321" s="15"/>
      <c r="T321" s="15"/>
      <c r="U321" s="15"/>
      <c r="V321" s="100"/>
      <c r="W321" s="19"/>
    </row>
    <row r="322" spans="1:23" s="69" customFormat="1" ht="48.75" customHeight="1">
      <c r="A322" s="135" t="s">
        <v>396</v>
      </c>
      <c r="B322" s="168"/>
      <c r="C322" s="168"/>
      <c r="D322" s="136"/>
      <c r="E322" s="22">
        <f>SUM(E323:E324)</f>
        <v>21300000</v>
      </c>
      <c r="F322" s="22">
        <f t="shared" ref="F322:O322" si="51">SUM(F323:F324)</f>
        <v>0</v>
      </c>
      <c r="G322" s="22">
        <f t="shared" si="51"/>
        <v>0</v>
      </c>
      <c r="H322" s="22">
        <f t="shared" si="51"/>
        <v>0</v>
      </c>
      <c r="I322" s="22">
        <f t="shared" si="51"/>
        <v>266703874.68000001</v>
      </c>
      <c r="J322" s="22">
        <f t="shared" si="51"/>
        <v>0</v>
      </c>
      <c r="K322" s="22">
        <f t="shared" si="51"/>
        <v>181089951.03999999</v>
      </c>
      <c r="L322" s="22">
        <v>301336743.94999999</v>
      </c>
      <c r="M322" s="22">
        <f t="shared" si="51"/>
        <v>0</v>
      </c>
      <c r="N322" s="22">
        <f t="shared" si="51"/>
        <v>0</v>
      </c>
      <c r="O322" s="22">
        <f t="shared" si="51"/>
        <v>105158681</v>
      </c>
      <c r="P322" s="60">
        <v>0</v>
      </c>
      <c r="Q322" s="60">
        <v>5557818.4000000004</v>
      </c>
      <c r="R322" s="60">
        <v>5557818.4000000004</v>
      </c>
      <c r="S322" s="68"/>
      <c r="T322" s="68"/>
      <c r="U322" s="15"/>
      <c r="V322" s="125"/>
      <c r="W322" s="19"/>
    </row>
    <row r="323" spans="1:23" s="17" customFormat="1" ht="66.75" customHeight="1">
      <c r="A323" s="20">
        <v>288</v>
      </c>
      <c r="B323" s="21" t="s">
        <v>397</v>
      </c>
      <c r="C323" s="132" t="s">
        <v>398</v>
      </c>
      <c r="D323" s="132"/>
      <c r="E323" s="22">
        <v>15000000</v>
      </c>
      <c r="F323" s="22"/>
      <c r="G323" s="22"/>
      <c r="H323" s="22"/>
      <c r="I323" s="22">
        <v>266703874.68000001</v>
      </c>
      <c r="J323" s="22"/>
      <c r="K323" s="27">
        <v>181089951.03999999</v>
      </c>
      <c r="L323" s="13">
        <v>301336743.94999999</v>
      </c>
      <c r="M323" s="22"/>
      <c r="N323" s="22"/>
      <c r="O323" s="22">
        <v>105158681</v>
      </c>
      <c r="P323" s="25"/>
      <c r="Q323" s="14">
        <v>0</v>
      </c>
      <c r="R323" s="18">
        <v>0</v>
      </c>
      <c r="S323" s="26"/>
      <c r="T323" s="26"/>
      <c r="U323" s="15"/>
      <c r="V323" s="126"/>
      <c r="W323" s="19"/>
    </row>
    <row r="324" spans="1:23" s="17" customFormat="1" ht="47.25" customHeight="1">
      <c r="A324" s="20">
        <v>289</v>
      </c>
      <c r="B324" s="21" t="s">
        <v>88</v>
      </c>
      <c r="C324" s="135" t="s">
        <v>399</v>
      </c>
      <c r="D324" s="136"/>
      <c r="E324" s="22">
        <v>6300000</v>
      </c>
      <c r="F324" s="22">
        <v>0</v>
      </c>
      <c r="G324" s="22"/>
      <c r="H324" s="22"/>
      <c r="I324" s="22"/>
      <c r="J324" s="22"/>
      <c r="K324" s="22"/>
      <c r="L324" s="13">
        <v>0</v>
      </c>
      <c r="M324" s="22"/>
      <c r="N324" s="22"/>
      <c r="O324" s="24"/>
      <c r="P324" s="25">
        <v>0</v>
      </c>
      <c r="Q324" s="14">
        <v>5557818.4000000004</v>
      </c>
      <c r="R324" s="18">
        <v>5557818.4000000004</v>
      </c>
      <c r="S324" s="34"/>
      <c r="T324" s="34"/>
      <c r="U324" s="15"/>
      <c r="V324" s="126"/>
      <c r="W324" s="19"/>
    </row>
    <row r="325" spans="1:23" s="69" customFormat="1" ht="47.25" customHeight="1">
      <c r="A325" s="135" t="s">
        <v>400</v>
      </c>
      <c r="B325" s="168"/>
      <c r="C325" s="168"/>
      <c r="D325" s="136"/>
      <c r="E325" s="22">
        <f>SUM(E326:E327)</f>
        <v>37500000</v>
      </c>
      <c r="F325" s="22">
        <f t="shared" ref="F325:O325" si="52">SUM(F326:F327)</f>
        <v>0</v>
      </c>
      <c r="G325" s="22">
        <f t="shared" si="52"/>
        <v>0</v>
      </c>
      <c r="H325" s="22">
        <f t="shared" si="52"/>
        <v>0</v>
      </c>
      <c r="I325" s="22">
        <f t="shared" si="52"/>
        <v>400602214.88</v>
      </c>
      <c r="J325" s="22">
        <f t="shared" si="52"/>
        <v>0</v>
      </c>
      <c r="K325" s="22">
        <f>SUM(K326:K327)</f>
        <v>484093953.24000001</v>
      </c>
      <c r="L325" s="22">
        <v>176488347.19999999</v>
      </c>
      <c r="M325" s="22">
        <f t="shared" si="52"/>
        <v>0</v>
      </c>
      <c r="N325" s="22">
        <f t="shared" si="52"/>
        <v>0</v>
      </c>
      <c r="O325" s="22">
        <f t="shared" si="52"/>
        <v>150000000</v>
      </c>
      <c r="P325" s="60">
        <v>0</v>
      </c>
      <c r="Q325" s="60">
        <v>21600000</v>
      </c>
      <c r="R325" s="60">
        <v>21600000</v>
      </c>
      <c r="S325" s="68"/>
      <c r="T325" s="68"/>
      <c r="U325" s="15"/>
      <c r="V325" s="125"/>
      <c r="W325" s="19"/>
    </row>
    <row r="326" spans="1:23" s="36" customFormat="1" ht="50.25" customHeight="1">
      <c r="A326" s="20">
        <v>290</v>
      </c>
      <c r="B326" s="21"/>
      <c r="C326" s="132" t="s">
        <v>400</v>
      </c>
      <c r="D326" s="132"/>
      <c r="E326" s="22">
        <v>37500000</v>
      </c>
      <c r="F326" s="22"/>
      <c r="G326" s="22"/>
      <c r="H326" s="22"/>
      <c r="I326" s="22">
        <v>400602214.88</v>
      </c>
      <c r="J326" s="22"/>
      <c r="K326" s="27">
        <v>484093953.24000001</v>
      </c>
      <c r="L326" s="13">
        <v>176488347.19999999</v>
      </c>
      <c r="M326" s="22"/>
      <c r="N326" s="22"/>
      <c r="O326" s="24">
        <v>150000000</v>
      </c>
      <c r="P326" s="25"/>
      <c r="Q326" s="14">
        <v>0</v>
      </c>
      <c r="R326" s="18">
        <v>0</v>
      </c>
      <c r="S326" s="26"/>
      <c r="T326" s="26"/>
      <c r="U326" s="15"/>
      <c r="V326" s="121"/>
      <c r="W326" s="19"/>
    </row>
    <row r="327" spans="1:23" s="17" customFormat="1" ht="39.75" customHeight="1">
      <c r="A327" s="20">
        <v>291</v>
      </c>
      <c r="B327" s="21"/>
      <c r="C327" s="135" t="s">
        <v>401</v>
      </c>
      <c r="D327" s="136"/>
      <c r="E327" s="22"/>
      <c r="F327" s="22">
        <v>0</v>
      </c>
      <c r="G327" s="22"/>
      <c r="H327" s="22"/>
      <c r="I327" s="22"/>
      <c r="J327" s="22"/>
      <c r="K327" s="22"/>
      <c r="L327" s="13">
        <v>0</v>
      </c>
      <c r="M327" s="22"/>
      <c r="N327" s="22"/>
      <c r="O327" s="24"/>
      <c r="P327" s="25">
        <v>0</v>
      </c>
      <c r="Q327" s="14">
        <v>21600000</v>
      </c>
      <c r="R327" s="18">
        <v>21600000</v>
      </c>
      <c r="S327" s="34"/>
      <c r="T327" s="34"/>
      <c r="U327" s="15"/>
      <c r="V327" s="117"/>
      <c r="W327" s="19"/>
    </row>
    <row r="328" spans="1:23" s="17" customFormat="1" ht="30" customHeight="1">
      <c r="A328" s="129" t="s">
        <v>402</v>
      </c>
      <c r="B328" s="130"/>
      <c r="C328" s="130"/>
      <c r="D328" s="131"/>
      <c r="E328" s="13">
        <f t="shared" ref="E328:O328" si="53">SUM(E3,E106,E126,E176,E197,E222,E270,E288,E321)</f>
        <v>449162029774</v>
      </c>
      <c r="F328" s="13">
        <f t="shared" si="53"/>
        <v>19954322990</v>
      </c>
      <c r="G328" s="13">
        <f t="shared" si="53"/>
        <v>19551329395</v>
      </c>
      <c r="H328" s="13">
        <f t="shared" si="53"/>
        <v>19551329395</v>
      </c>
      <c r="I328" s="13">
        <f t="shared" si="53"/>
        <v>88220999999.779999</v>
      </c>
      <c r="J328" s="13">
        <f t="shared" si="53"/>
        <v>30466604339.110004</v>
      </c>
      <c r="K328" s="13">
        <f t="shared" si="53"/>
        <v>101098399999.97998</v>
      </c>
      <c r="L328" s="13">
        <v>92668823514.015991</v>
      </c>
      <c r="M328" s="13">
        <f t="shared" si="53"/>
        <v>13880233526</v>
      </c>
      <c r="N328" s="13">
        <f t="shared" si="53"/>
        <v>13880233526</v>
      </c>
      <c r="O328" s="13">
        <f t="shared" si="53"/>
        <v>227436720781.84</v>
      </c>
      <c r="P328" s="14">
        <v>12201621622.290001</v>
      </c>
      <c r="Q328" s="14">
        <v>15756463856.0016</v>
      </c>
      <c r="R328" s="14">
        <v>27958085478.291603</v>
      </c>
      <c r="S328" s="15"/>
      <c r="T328" s="15"/>
      <c r="U328" s="15"/>
      <c r="V328" s="100"/>
      <c r="W328" s="19"/>
    </row>
    <row r="329" spans="1:23" s="17" customFormat="1" ht="30" customHeight="1">
      <c r="A329" s="139" t="s">
        <v>403</v>
      </c>
      <c r="B329" s="140"/>
      <c r="C329" s="140"/>
      <c r="D329" s="141"/>
      <c r="E329" s="13">
        <f t="shared" ref="E329:J329" si="54">SUM(E330:E334)</f>
        <v>0</v>
      </c>
      <c r="F329" s="13">
        <f t="shared" si="54"/>
        <v>0</v>
      </c>
      <c r="G329" s="13">
        <f t="shared" si="54"/>
        <v>0</v>
      </c>
      <c r="H329" s="13">
        <f t="shared" si="54"/>
        <v>0</v>
      </c>
      <c r="I329" s="13">
        <f t="shared" si="54"/>
        <v>0</v>
      </c>
      <c r="J329" s="13">
        <f t="shared" si="54"/>
        <v>0</v>
      </c>
      <c r="K329" s="13">
        <f>SUM(K330:K334)</f>
        <v>12201621622.290001</v>
      </c>
      <c r="L329" s="13">
        <v>35307793251.001602</v>
      </c>
      <c r="M329" s="13">
        <f>SUM(M330:M334)</f>
        <v>7096277926</v>
      </c>
      <c r="N329" s="13">
        <f>SUM(N330:N334)</f>
        <v>7096277926</v>
      </c>
      <c r="O329" s="13">
        <f>SUM(O330:O334)</f>
        <v>20976511452</v>
      </c>
      <c r="P329" s="14">
        <v>0</v>
      </c>
      <c r="Q329" s="14">
        <v>0</v>
      </c>
      <c r="R329" s="18">
        <v>0</v>
      </c>
      <c r="S329" s="15"/>
      <c r="T329" s="15"/>
      <c r="U329" s="15"/>
      <c r="V329" s="100"/>
      <c r="W329" s="19"/>
    </row>
    <row r="330" spans="1:23" s="17" customFormat="1" ht="38.25" customHeight="1">
      <c r="A330" s="20">
        <v>292</v>
      </c>
      <c r="B330" s="70"/>
      <c r="C330" s="132" t="s">
        <v>404</v>
      </c>
      <c r="D330" s="132"/>
      <c r="E330" s="22"/>
      <c r="F330" s="22"/>
      <c r="G330" s="22"/>
      <c r="H330" s="22"/>
      <c r="I330" s="22"/>
      <c r="J330" s="22"/>
      <c r="K330" s="22"/>
      <c r="L330" s="13">
        <v>0</v>
      </c>
      <c r="M330" s="22"/>
      <c r="N330" s="22"/>
      <c r="O330" s="22"/>
      <c r="P330" s="25"/>
      <c r="Q330" s="14">
        <v>0</v>
      </c>
      <c r="R330" s="18">
        <v>0</v>
      </c>
      <c r="S330" s="26"/>
      <c r="T330" s="26"/>
      <c r="U330" s="15"/>
      <c r="V330" s="100"/>
      <c r="W330" s="19"/>
    </row>
    <row r="331" spans="1:23" s="17" customFormat="1" ht="38.25" customHeight="1">
      <c r="A331" s="20">
        <v>293</v>
      </c>
      <c r="B331" s="20"/>
      <c r="C331" s="132" t="s">
        <v>405</v>
      </c>
      <c r="D331" s="132"/>
      <c r="E331" s="22"/>
      <c r="F331" s="22"/>
      <c r="G331" s="22"/>
      <c r="H331" s="22"/>
      <c r="I331" s="22"/>
      <c r="J331" s="22"/>
      <c r="K331" s="22"/>
      <c r="L331" s="13">
        <v>19551329395</v>
      </c>
      <c r="M331" s="22"/>
      <c r="N331" s="22"/>
      <c r="O331" s="22"/>
      <c r="P331" s="25"/>
      <c r="Q331" s="14">
        <v>0</v>
      </c>
      <c r="R331" s="18">
        <v>0</v>
      </c>
      <c r="S331" s="26"/>
      <c r="T331" s="26"/>
      <c r="U331" s="15"/>
      <c r="V331" s="100"/>
      <c r="W331" s="19"/>
    </row>
    <row r="332" spans="1:23" s="17" customFormat="1" ht="38.25" customHeight="1">
      <c r="A332" s="20">
        <v>294</v>
      </c>
      <c r="B332" s="20"/>
      <c r="C332" s="135" t="s">
        <v>406</v>
      </c>
      <c r="D332" s="136"/>
      <c r="E332" s="22"/>
      <c r="F332" s="22"/>
      <c r="G332" s="22"/>
      <c r="H332" s="22"/>
      <c r="I332" s="22"/>
      <c r="J332" s="22"/>
      <c r="K332" s="22">
        <f>P335</f>
        <v>12201621622.290001</v>
      </c>
      <c r="L332" s="13">
        <v>15756463856.0016</v>
      </c>
      <c r="M332" s="22"/>
      <c r="N332" s="22"/>
      <c r="O332" s="22"/>
      <c r="P332" s="25"/>
      <c r="Q332" s="14">
        <v>0</v>
      </c>
      <c r="R332" s="18">
        <v>0</v>
      </c>
      <c r="S332" s="26"/>
      <c r="T332" s="26"/>
      <c r="U332" s="15"/>
      <c r="V332" s="100"/>
      <c r="W332" s="19"/>
    </row>
    <row r="333" spans="1:23" s="36" customFormat="1" ht="25.5" customHeight="1">
      <c r="A333" s="20">
        <v>295</v>
      </c>
      <c r="B333" s="20"/>
      <c r="C333" s="132" t="s">
        <v>407</v>
      </c>
      <c r="D333" s="132"/>
      <c r="E333" s="22"/>
      <c r="F333" s="22">
        <v>0</v>
      </c>
      <c r="G333" s="22"/>
      <c r="H333" s="22"/>
      <c r="I333" s="22"/>
      <c r="J333" s="22"/>
      <c r="K333" s="22"/>
      <c r="L333" s="13">
        <v>0</v>
      </c>
      <c r="M333" s="24">
        <v>7096277926</v>
      </c>
      <c r="N333" s="24">
        <v>7096277926</v>
      </c>
      <c r="O333" s="24">
        <v>7096277926</v>
      </c>
      <c r="P333" s="25"/>
      <c r="Q333" s="14">
        <v>0</v>
      </c>
      <c r="R333" s="18">
        <v>0</v>
      </c>
      <c r="S333" s="26"/>
      <c r="T333" s="26"/>
      <c r="U333" s="15"/>
      <c r="V333" s="100"/>
      <c r="W333" s="19"/>
    </row>
    <row r="334" spans="1:23" s="17" customFormat="1" ht="50.25" customHeight="1">
      <c r="A334" s="20">
        <v>296</v>
      </c>
      <c r="B334" s="20"/>
      <c r="C334" s="132" t="s">
        <v>408</v>
      </c>
      <c r="D334" s="132"/>
      <c r="E334" s="22"/>
      <c r="F334" s="22"/>
      <c r="G334" s="22"/>
      <c r="H334" s="22"/>
      <c r="I334" s="22"/>
      <c r="J334" s="22"/>
      <c r="K334" s="22"/>
      <c r="L334" s="13">
        <v>0</v>
      </c>
      <c r="M334" s="24"/>
      <c r="N334" s="24"/>
      <c r="O334" s="22">
        <f>M328</f>
        <v>13880233526</v>
      </c>
      <c r="P334" s="25"/>
      <c r="Q334" s="14">
        <v>0</v>
      </c>
      <c r="R334" s="18">
        <v>0</v>
      </c>
      <c r="S334" s="26"/>
      <c r="T334" s="26"/>
      <c r="U334" s="15"/>
      <c r="V334" s="100"/>
      <c r="W334" s="19"/>
    </row>
    <row r="335" spans="1:23" s="62" customFormat="1" ht="30" customHeight="1">
      <c r="A335" s="160" t="s">
        <v>409</v>
      </c>
      <c r="B335" s="160"/>
      <c r="C335" s="160"/>
      <c r="D335" s="160"/>
      <c r="E335" s="13">
        <f t="shared" ref="E335:O335" si="55">E328+E329</f>
        <v>449162029774</v>
      </c>
      <c r="F335" s="13">
        <f t="shared" si="55"/>
        <v>19954322990</v>
      </c>
      <c r="G335" s="13">
        <f t="shared" si="55"/>
        <v>19551329395</v>
      </c>
      <c r="H335" s="13">
        <f t="shared" si="55"/>
        <v>19551329395</v>
      </c>
      <c r="I335" s="13">
        <f t="shared" si="55"/>
        <v>88220999999.779999</v>
      </c>
      <c r="J335" s="13">
        <f t="shared" si="55"/>
        <v>30466604339.110004</v>
      </c>
      <c r="K335" s="13">
        <f>K328+K329</f>
        <v>113300021622.26999</v>
      </c>
      <c r="L335" s="13">
        <v>127976616765.01759</v>
      </c>
      <c r="M335" s="13">
        <f t="shared" si="55"/>
        <v>20976511452</v>
      </c>
      <c r="N335" s="13">
        <f t="shared" si="55"/>
        <v>20976511452</v>
      </c>
      <c r="O335" s="13">
        <f t="shared" si="55"/>
        <v>248413232233.84</v>
      </c>
      <c r="P335" s="14">
        <v>12201621622.290001</v>
      </c>
      <c r="Q335" s="14">
        <v>15756463856.0016</v>
      </c>
      <c r="R335" s="14">
        <v>27958085478.291603</v>
      </c>
      <c r="S335" s="15"/>
      <c r="T335" s="15"/>
      <c r="U335" s="15"/>
      <c r="V335" s="100"/>
      <c r="W335" s="19"/>
    </row>
    <row r="336" spans="1:23" ht="54.75" hidden="1" customHeight="1">
      <c r="A336" s="71"/>
      <c r="B336" s="71"/>
      <c r="C336" s="71"/>
      <c r="D336" s="72"/>
      <c r="E336" s="73">
        <v>90671000000</v>
      </c>
      <c r="F336" s="72"/>
      <c r="G336" s="74">
        <v>101098400000</v>
      </c>
      <c r="H336" s="75">
        <f>100-G336/E336*100</f>
        <v>-11.50025917878925</v>
      </c>
      <c r="I336" s="72"/>
      <c r="J336" s="72"/>
      <c r="K336" s="74">
        <v>101098400000</v>
      </c>
      <c r="L336" s="72"/>
      <c r="M336" s="72"/>
      <c r="N336" s="72"/>
      <c r="O336" s="72"/>
      <c r="P336" s="77"/>
      <c r="Q336" s="77"/>
      <c r="R336" s="77"/>
      <c r="S336" s="77"/>
      <c r="T336" s="77"/>
      <c r="U336" s="77"/>
      <c r="V336" s="77"/>
    </row>
    <row r="337" spans="1:22" ht="41.25" hidden="1" customHeight="1">
      <c r="A337" s="71"/>
      <c r="B337" s="71"/>
      <c r="C337" s="71"/>
      <c r="D337" s="72"/>
      <c r="E337" s="72"/>
      <c r="F337" s="72"/>
      <c r="G337" s="72"/>
      <c r="H337" s="72"/>
      <c r="I337" s="73"/>
      <c r="J337" s="72"/>
      <c r="K337" s="78">
        <v>-90671000000</v>
      </c>
      <c r="L337" s="72"/>
      <c r="M337" s="72"/>
      <c r="N337" s="72"/>
      <c r="O337" s="76"/>
      <c r="P337" s="77"/>
      <c r="Q337" s="77"/>
      <c r="R337" s="77"/>
      <c r="S337" s="77"/>
      <c r="T337" s="77"/>
      <c r="U337" s="77"/>
      <c r="V337" s="77"/>
    </row>
    <row r="338" spans="1:22" ht="48.75" hidden="1" customHeight="1">
      <c r="A338" s="71"/>
      <c r="B338" s="71"/>
      <c r="C338" s="71"/>
      <c r="D338" s="72"/>
      <c r="E338" s="72"/>
      <c r="F338" s="72"/>
      <c r="G338" s="72"/>
      <c r="H338" s="72"/>
      <c r="I338" s="72"/>
      <c r="J338" s="72"/>
      <c r="K338" s="79">
        <f>SUM(K336:K337)</f>
        <v>10427400000</v>
      </c>
      <c r="L338" s="72"/>
      <c r="M338" s="72"/>
      <c r="N338" s="72"/>
      <c r="O338" s="80"/>
      <c r="P338" s="77"/>
      <c r="Q338" s="77"/>
      <c r="R338" s="77"/>
      <c r="S338" s="77"/>
      <c r="T338" s="77"/>
      <c r="U338" s="77"/>
      <c r="V338" s="77"/>
    </row>
    <row r="339" spans="1:22" ht="47.25" hidden="1" customHeight="1">
      <c r="A339" s="71"/>
      <c r="B339" s="71"/>
      <c r="C339" s="71"/>
      <c r="D339" s="72"/>
      <c r="E339" s="73"/>
      <c r="F339" s="73"/>
      <c r="G339" s="73"/>
      <c r="H339" s="73"/>
      <c r="I339" s="72"/>
      <c r="J339" s="72"/>
      <c r="K339" s="72"/>
      <c r="L339" s="72"/>
      <c r="M339" s="72"/>
      <c r="N339" s="72"/>
      <c r="O339" s="72"/>
      <c r="P339" s="77"/>
      <c r="Q339" s="77"/>
      <c r="R339" s="77"/>
      <c r="S339" s="77"/>
      <c r="T339" s="77"/>
      <c r="U339" s="77"/>
      <c r="V339" s="77"/>
    </row>
    <row r="340" spans="1:22" s="89" customFormat="1" ht="66" hidden="1" customHeight="1">
      <c r="A340" s="81"/>
      <c r="B340" s="81"/>
      <c r="C340" s="81"/>
      <c r="D340" s="82"/>
      <c r="E340" s="84">
        <f>(E335-E83-E73-E74-E75-E76-E330-E67)/1000000</f>
        <v>40209.029774000002</v>
      </c>
      <c r="F340" s="85"/>
      <c r="G340" s="85"/>
      <c r="H340" s="85"/>
      <c r="I340" s="86">
        <f>I328-I43-I44-I45-I46-I48-I50-I54-I55-I56-I57</f>
        <v>71432631315.529999</v>
      </c>
      <c r="J340" s="86">
        <f>J328-J43-J44-J45-J46-J48-J50-J54-J55-J56-J57</f>
        <v>22137356761.090004</v>
      </c>
      <c r="K340" s="86">
        <f>K335-K43-K44-K45-K46-K47-K48-K49-K50-K51-K52-K53-K54-K55-K56-K57-K332</f>
        <v>77325944013.349976</v>
      </c>
      <c r="L340" s="86">
        <f>L335-L332-L331-L80-L81</f>
        <v>68403823514.015991</v>
      </c>
      <c r="M340" s="83">
        <v>10427400000</v>
      </c>
      <c r="N340" s="87" t="e">
        <f>M340/#REF!*100</f>
        <v>#REF!</v>
      </c>
      <c r="O340" s="86">
        <f>O335-O334-O333-O29-O31-O32-O35-O36-O34</f>
        <v>213576347275.84</v>
      </c>
      <c r="P340" s="88"/>
      <c r="Q340" s="88"/>
      <c r="R340" s="88"/>
      <c r="S340" s="88"/>
      <c r="T340" s="88"/>
      <c r="U340" s="88"/>
      <c r="V340" s="88"/>
    </row>
    <row r="341" spans="1:22" hidden="1">
      <c r="D341" s="90"/>
      <c r="E341" s="90"/>
      <c r="F341" s="90"/>
      <c r="G341" s="90"/>
      <c r="H341" s="90"/>
      <c r="I341" s="90"/>
      <c r="J341" s="90"/>
      <c r="K341" s="90"/>
      <c r="L341" s="90"/>
      <c r="M341" s="90"/>
      <c r="N341" s="90"/>
      <c r="O341" s="90"/>
    </row>
    <row r="342" spans="1:22">
      <c r="D342" s="90"/>
      <c r="E342" s="91">
        <f>E335+G335+M335</f>
        <v>489689870621</v>
      </c>
      <c r="F342" s="90"/>
      <c r="G342" s="90"/>
      <c r="H342" s="90"/>
      <c r="I342" s="90"/>
      <c r="J342" s="90"/>
      <c r="K342" s="90"/>
      <c r="L342" s="90"/>
      <c r="M342" s="90"/>
      <c r="N342" s="90"/>
      <c r="O342" s="90"/>
    </row>
    <row r="343" spans="1:22" hidden="1">
      <c r="D343" s="90"/>
      <c r="E343" s="90"/>
      <c r="F343" s="90"/>
      <c r="G343" s="90"/>
      <c r="H343" s="90"/>
      <c r="I343" s="90"/>
      <c r="J343" s="90"/>
      <c r="K343" s="90"/>
      <c r="L343" s="90"/>
      <c r="M343" s="91" t="e">
        <f>#REF!-K338</f>
        <v>#REF!</v>
      </c>
      <c r="N343" s="92">
        <v>7000000000</v>
      </c>
      <c r="O343" s="90" t="e">
        <f>N343/#REF!*100</f>
        <v>#REF!</v>
      </c>
    </row>
    <row r="344" spans="1:22" hidden="1">
      <c r="D344" s="90"/>
      <c r="E344" s="90"/>
      <c r="F344" s="90"/>
      <c r="G344" s="90"/>
      <c r="H344" s="90"/>
      <c r="I344" s="90"/>
      <c r="J344" s="90"/>
      <c r="K344" s="90"/>
      <c r="L344" s="90"/>
      <c r="M344" s="90"/>
      <c r="N344" s="90"/>
      <c r="O344" s="90"/>
    </row>
    <row r="345" spans="1:22" hidden="1">
      <c r="D345" s="90"/>
      <c r="E345" s="90"/>
      <c r="F345" s="90"/>
      <c r="G345" s="90"/>
      <c r="H345" s="91"/>
      <c r="I345" s="90"/>
      <c r="J345" s="90"/>
      <c r="K345" s="90"/>
      <c r="L345" s="90"/>
      <c r="M345" s="90"/>
      <c r="N345" s="90"/>
      <c r="O345" s="90">
        <v>14.971501789671466</v>
      </c>
    </row>
    <row r="346" spans="1:22" hidden="1">
      <c r="D346" s="90"/>
      <c r="E346" s="90"/>
      <c r="F346" s="90"/>
      <c r="G346" s="90"/>
      <c r="H346" s="90"/>
      <c r="I346" s="90"/>
      <c r="J346" s="90"/>
      <c r="K346" s="90"/>
      <c r="L346" s="90"/>
      <c r="M346" s="90"/>
      <c r="N346" s="90"/>
      <c r="O346" s="90" t="e">
        <f>SUM(O343:O345)</f>
        <v>#REF!</v>
      </c>
    </row>
    <row r="347" spans="1:22" ht="18" hidden="1">
      <c r="D347" s="90"/>
      <c r="E347" s="90"/>
      <c r="F347" s="90"/>
      <c r="G347" s="90"/>
      <c r="H347" s="90"/>
      <c r="I347" s="90"/>
      <c r="J347" s="90"/>
      <c r="K347" s="93"/>
      <c r="L347" s="90"/>
      <c r="M347" s="92">
        <v>101132154650.29999</v>
      </c>
      <c r="N347" s="90"/>
      <c r="O347" s="90"/>
    </row>
    <row r="348" spans="1:22" hidden="1">
      <c r="D348" s="90"/>
      <c r="E348" s="90"/>
      <c r="F348" s="90"/>
      <c r="G348" s="90"/>
      <c r="H348" s="90"/>
      <c r="I348" s="90"/>
      <c r="J348" s="90"/>
      <c r="K348" s="90"/>
      <c r="L348" s="90"/>
      <c r="M348" s="92">
        <v>-101098399999.98</v>
      </c>
      <c r="N348" s="90"/>
      <c r="O348" s="90"/>
    </row>
    <row r="349" spans="1:22" hidden="1">
      <c r="D349" s="90"/>
      <c r="E349" s="90"/>
      <c r="F349" s="90"/>
      <c r="G349" s="90"/>
      <c r="H349" s="90"/>
      <c r="I349" s="90"/>
      <c r="J349" s="90"/>
      <c r="K349" s="92">
        <v>77325944013.349991</v>
      </c>
      <c r="L349" s="90"/>
      <c r="M349" s="94">
        <f>SUM(M347:M348)</f>
        <v>33754650.319992065</v>
      </c>
      <c r="N349" s="90"/>
      <c r="O349" s="90"/>
    </row>
    <row r="350" spans="1:22" hidden="1">
      <c r="D350" s="90"/>
      <c r="E350" s="90"/>
      <c r="F350" s="90"/>
      <c r="G350" s="90"/>
      <c r="H350" s="90"/>
      <c r="I350" s="90"/>
      <c r="J350" s="90"/>
      <c r="K350" s="90"/>
      <c r="L350" s="90"/>
      <c r="M350" s="90"/>
      <c r="N350" s="90"/>
      <c r="O350" s="90"/>
    </row>
    <row r="351" spans="1:22" hidden="1">
      <c r="D351" s="90"/>
      <c r="E351" s="90"/>
      <c r="F351" s="90"/>
      <c r="G351" s="90"/>
      <c r="H351" s="90"/>
      <c r="I351" s="90"/>
      <c r="J351" s="90"/>
      <c r="K351" s="90"/>
      <c r="L351" s="90"/>
      <c r="M351" s="90"/>
      <c r="N351" s="90"/>
      <c r="O351" s="90"/>
    </row>
    <row r="352" spans="1:22"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0"/>
      <c r="O352" s="90"/>
    </row>
    <row r="353" spans="4:15">
      <c r="D353" s="90"/>
      <c r="E353" s="90"/>
      <c r="F353" s="90"/>
      <c r="G353" s="90"/>
      <c r="H353" s="90"/>
      <c r="I353" s="90"/>
      <c r="J353" s="90"/>
      <c r="K353" s="90"/>
      <c r="L353" s="90"/>
      <c r="M353" s="90"/>
      <c r="N353" s="90"/>
      <c r="O353" s="90"/>
    </row>
    <row r="354" spans="4:15">
      <c r="D354" s="90"/>
      <c r="E354" s="90"/>
      <c r="F354" s="90"/>
      <c r="G354" s="90"/>
      <c r="H354" s="90"/>
      <c r="I354" s="90"/>
      <c r="J354" s="90"/>
      <c r="K354" s="90"/>
      <c r="L354" s="90"/>
      <c r="M354" s="90"/>
      <c r="N354" s="90"/>
      <c r="O354" s="90"/>
    </row>
    <row r="355" spans="4:15">
      <c r="D355" s="90"/>
      <c r="E355" s="90"/>
      <c r="F355" s="90"/>
      <c r="G355" s="90"/>
      <c r="H355" s="90"/>
      <c r="I355" s="90"/>
      <c r="J355" s="90"/>
      <c r="K355" s="90"/>
      <c r="L355" s="90"/>
      <c r="M355" s="90"/>
      <c r="N355" s="90"/>
      <c r="O355" s="90"/>
    </row>
    <row r="356" spans="4:15">
      <c r="D356" s="90"/>
      <c r="E356" s="90"/>
      <c r="F356" s="90"/>
      <c r="G356" s="90"/>
      <c r="H356" s="90"/>
      <c r="I356" s="90"/>
      <c r="J356" s="90"/>
      <c r="K356" s="90"/>
      <c r="L356" s="90"/>
      <c r="M356" s="90"/>
      <c r="N356" s="90"/>
      <c r="O356" s="90"/>
    </row>
    <row r="357" spans="4:15">
      <c r="D357" s="90"/>
      <c r="E357" s="90"/>
      <c r="F357" s="90"/>
      <c r="G357" s="90"/>
      <c r="H357" s="90"/>
      <c r="I357" s="90"/>
      <c r="J357" s="90"/>
      <c r="K357" s="90"/>
      <c r="L357" s="90"/>
      <c r="M357" s="90"/>
      <c r="N357" s="90"/>
      <c r="O357" s="90"/>
    </row>
    <row r="358" spans="4:15">
      <c r="D358" s="90"/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</row>
    <row r="359" spans="4:15">
      <c r="D359" s="90"/>
      <c r="E359" s="90"/>
      <c r="F359" s="90"/>
      <c r="G359" s="90"/>
      <c r="H359" s="90"/>
      <c r="I359" s="90"/>
      <c r="J359" s="90"/>
      <c r="K359" s="90"/>
      <c r="L359" s="90"/>
      <c r="M359" s="90"/>
      <c r="N359" s="90"/>
      <c r="O359" s="90"/>
    </row>
    <row r="360" spans="4:15">
      <c r="D360" s="90"/>
      <c r="E360" s="90"/>
      <c r="F360" s="90"/>
      <c r="G360" s="90"/>
      <c r="H360" s="90"/>
      <c r="I360" s="90"/>
      <c r="J360" s="90"/>
      <c r="K360" s="90"/>
      <c r="L360" s="90"/>
      <c r="M360" s="90"/>
      <c r="N360" s="90"/>
      <c r="O360" s="90"/>
    </row>
    <row r="361" spans="4:15">
      <c r="D361" s="90"/>
      <c r="E361" s="90"/>
      <c r="F361" s="90"/>
      <c r="G361" s="90"/>
      <c r="H361" s="90"/>
      <c r="I361" s="90"/>
      <c r="J361" s="90"/>
      <c r="K361" s="90"/>
      <c r="L361" s="90"/>
      <c r="M361" s="90"/>
      <c r="N361" s="90"/>
      <c r="O361" s="90"/>
    </row>
    <row r="362" spans="4:15">
      <c r="D362" s="90"/>
      <c r="E362" s="90"/>
      <c r="F362" s="90"/>
      <c r="G362" s="90"/>
      <c r="H362" s="90"/>
      <c r="I362" s="90"/>
      <c r="J362" s="90"/>
      <c r="K362" s="90"/>
      <c r="L362" s="90"/>
      <c r="M362" s="90"/>
      <c r="N362" s="90"/>
      <c r="O362" s="90"/>
    </row>
    <row r="363" spans="4:15">
      <c r="D363" s="90"/>
      <c r="E363" s="90"/>
      <c r="F363" s="90"/>
      <c r="G363" s="90"/>
      <c r="H363" s="90"/>
      <c r="I363" s="90"/>
      <c r="J363" s="90"/>
      <c r="K363" s="90"/>
      <c r="L363" s="90"/>
      <c r="M363" s="90"/>
      <c r="N363" s="90"/>
      <c r="O363" s="90"/>
    </row>
    <row r="364" spans="4:15">
      <c r="D364" s="90"/>
      <c r="E364" s="90"/>
      <c r="F364" s="90"/>
      <c r="G364" s="90"/>
      <c r="H364" s="90"/>
      <c r="I364" s="90"/>
      <c r="J364" s="90"/>
      <c r="K364" s="90"/>
      <c r="L364" s="90"/>
      <c r="M364" s="90"/>
      <c r="N364" s="90"/>
      <c r="O364" s="90"/>
    </row>
    <row r="365" spans="4:15">
      <c r="D365" s="90"/>
      <c r="E365" s="90"/>
      <c r="F365" s="90"/>
      <c r="G365" s="90"/>
      <c r="H365" s="90"/>
      <c r="I365" s="90"/>
      <c r="J365" s="90"/>
      <c r="K365" s="90"/>
      <c r="L365" s="90"/>
      <c r="M365" s="90"/>
      <c r="N365" s="90"/>
      <c r="O365" s="90"/>
    </row>
    <row r="366" spans="4:15">
      <c r="D366" s="90"/>
      <c r="E366" s="90"/>
      <c r="F366" s="90"/>
      <c r="G366" s="90"/>
      <c r="H366" s="90"/>
      <c r="I366" s="90"/>
      <c r="J366" s="90"/>
      <c r="K366" s="90"/>
      <c r="L366" s="90"/>
      <c r="M366" s="90"/>
      <c r="N366" s="90"/>
      <c r="O366" s="90"/>
    </row>
    <row r="367" spans="4:15">
      <c r="D367" s="90"/>
      <c r="E367" s="90"/>
      <c r="F367" s="90"/>
      <c r="G367" s="90"/>
      <c r="H367" s="90"/>
      <c r="I367" s="90"/>
      <c r="J367" s="90"/>
      <c r="K367" s="90"/>
      <c r="L367" s="90"/>
      <c r="M367" s="90"/>
      <c r="N367" s="90"/>
      <c r="O367" s="90"/>
    </row>
    <row r="368" spans="4:15">
      <c r="D368" s="90"/>
      <c r="E368" s="90"/>
      <c r="F368" s="90"/>
      <c r="G368" s="90"/>
      <c r="H368" s="90"/>
      <c r="I368" s="90"/>
      <c r="J368" s="90"/>
      <c r="K368" s="90"/>
      <c r="L368" s="90"/>
      <c r="M368" s="90"/>
      <c r="N368" s="90"/>
      <c r="O368" s="90"/>
    </row>
    <row r="369" spans="4:15">
      <c r="D369" s="90"/>
      <c r="E369" s="90"/>
      <c r="F369" s="90"/>
      <c r="G369" s="90"/>
      <c r="H369" s="90"/>
      <c r="I369" s="90"/>
      <c r="J369" s="90"/>
      <c r="K369" s="90"/>
      <c r="L369" s="90"/>
      <c r="M369" s="90"/>
      <c r="N369" s="90"/>
      <c r="O369" s="90"/>
    </row>
    <row r="370" spans="4:15">
      <c r="D370" s="90"/>
      <c r="E370" s="90"/>
      <c r="F370" s="90"/>
      <c r="G370" s="90"/>
      <c r="H370" s="90"/>
      <c r="I370" s="90"/>
      <c r="J370" s="90"/>
      <c r="K370" s="90"/>
      <c r="L370" s="90"/>
      <c r="M370" s="90"/>
      <c r="N370" s="90"/>
      <c r="O370" s="90"/>
    </row>
    <row r="371" spans="4:15">
      <c r="D371" s="90"/>
      <c r="E371" s="90"/>
      <c r="F371" s="90"/>
      <c r="G371" s="90"/>
      <c r="H371" s="90"/>
      <c r="I371" s="90"/>
      <c r="J371" s="90"/>
      <c r="K371" s="90"/>
      <c r="L371" s="90"/>
      <c r="M371" s="90"/>
      <c r="N371" s="90"/>
      <c r="O371" s="90"/>
    </row>
    <row r="372" spans="4:15">
      <c r="D372" s="90"/>
      <c r="E372" s="90"/>
      <c r="F372" s="90"/>
      <c r="G372" s="90"/>
      <c r="H372" s="90"/>
      <c r="I372" s="90"/>
      <c r="J372" s="90"/>
      <c r="K372" s="90"/>
      <c r="L372" s="90"/>
      <c r="M372" s="90"/>
      <c r="N372" s="90"/>
      <c r="O372" s="90"/>
    </row>
    <row r="373" spans="4:15">
      <c r="D373" s="90"/>
      <c r="E373" s="90"/>
      <c r="F373" s="90"/>
      <c r="G373" s="90"/>
      <c r="H373" s="90"/>
      <c r="I373" s="90"/>
      <c r="J373" s="90"/>
      <c r="K373" s="90"/>
      <c r="L373" s="90"/>
      <c r="M373" s="90"/>
      <c r="N373" s="90"/>
      <c r="O373" s="90"/>
    </row>
    <row r="374" spans="4:15">
      <c r="D374" s="90"/>
      <c r="E374" s="90"/>
      <c r="F374" s="90"/>
      <c r="G374" s="90"/>
      <c r="H374" s="90"/>
      <c r="I374" s="90"/>
      <c r="J374" s="90"/>
      <c r="K374" s="90"/>
      <c r="L374" s="90"/>
      <c r="M374" s="90"/>
      <c r="N374" s="90"/>
      <c r="O374" s="90"/>
    </row>
    <row r="375" spans="4:15">
      <c r="D375" s="90"/>
      <c r="E375" s="90"/>
      <c r="F375" s="90"/>
      <c r="G375" s="90"/>
      <c r="H375" s="90"/>
      <c r="I375" s="90"/>
      <c r="J375" s="90"/>
      <c r="K375" s="90"/>
      <c r="L375" s="90"/>
      <c r="M375" s="90"/>
      <c r="N375" s="90"/>
      <c r="O375" s="90"/>
    </row>
    <row r="376" spans="4:15">
      <c r="D376" s="90"/>
      <c r="E376" s="90"/>
      <c r="F376" s="90"/>
      <c r="G376" s="90"/>
      <c r="H376" s="90"/>
      <c r="I376" s="90"/>
      <c r="J376" s="90"/>
      <c r="K376" s="90"/>
      <c r="L376" s="90"/>
      <c r="M376" s="90"/>
      <c r="N376" s="90"/>
      <c r="O376" s="90"/>
    </row>
    <row r="377" spans="4:15">
      <c r="D377" s="90"/>
      <c r="E377" s="90"/>
      <c r="F377" s="90"/>
      <c r="G377" s="90"/>
      <c r="H377" s="90"/>
      <c r="I377" s="90"/>
      <c r="J377" s="90"/>
      <c r="K377" s="90"/>
      <c r="L377" s="90"/>
      <c r="M377" s="90"/>
      <c r="N377" s="90"/>
      <c r="O377" s="90"/>
    </row>
    <row r="378" spans="4:15">
      <c r="D378" s="90"/>
      <c r="E378" s="90"/>
      <c r="F378" s="90"/>
      <c r="G378" s="90"/>
      <c r="H378" s="90"/>
      <c r="I378" s="90"/>
      <c r="J378" s="90"/>
      <c r="K378" s="90"/>
      <c r="L378" s="90"/>
      <c r="M378" s="90"/>
      <c r="N378" s="90"/>
      <c r="O378" s="90"/>
    </row>
    <row r="379" spans="4:15">
      <c r="D379" s="90"/>
      <c r="E379" s="90"/>
      <c r="F379" s="90"/>
      <c r="G379" s="90"/>
      <c r="H379" s="90"/>
      <c r="I379" s="90"/>
      <c r="J379" s="90"/>
      <c r="K379" s="90"/>
      <c r="L379" s="90"/>
      <c r="M379" s="90"/>
      <c r="N379" s="90"/>
      <c r="O379" s="90"/>
    </row>
    <row r="380" spans="4:15"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</row>
    <row r="381" spans="4:15">
      <c r="D381" s="90"/>
      <c r="E381" s="90"/>
      <c r="F381" s="90"/>
      <c r="G381" s="90"/>
      <c r="H381" s="90"/>
      <c r="I381" s="90"/>
      <c r="J381" s="90"/>
      <c r="K381" s="90"/>
      <c r="L381" s="90"/>
      <c r="M381" s="90"/>
      <c r="N381" s="90"/>
      <c r="O381" s="90"/>
    </row>
    <row r="382" spans="4:15">
      <c r="D382" s="90"/>
      <c r="E382" s="90"/>
      <c r="F382" s="90"/>
      <c r="G382" s="90"/>
      <c r="H382" s="90"/>
      <c r="I382" s="90"/>
      <c r="J382" s="90"/>
      <c r="K382" s="90"/>
      <c r="L382" s="90"/>
      <c r="M382" s="90"/>
      <c r="N382" s="90"/>
      <c r="O382" s="90"/>
    </row>
    <row r="383" spans="4:15">
      <c r="D383" s="90"/>
      <c r="E383" s="90"/>
      <c r="F383" s="90"/>
      <c r="G383" s="90"/>
      <c r="H383" s="90"/>
      <c r="I383" s="90"/>
      <c r="J383" s="90"/>
      <c r="K383" s="90"/>
      <c r="L383" s="90"/>
      <c r="M383" s="90"/>
      <c r="N383" s="90"/>
      <c r="O383" s="90"/>
    </row>
    <row r="384" spans="4:15">
      <c r="D384" s="90"/>
      <c r="E384" s="90"/>
      <c r="F384" s="90"/>
      <c r="G384" s="90"/>
      <c r="H384" s="90"/>
      <c r="I384" s="90"/>
      <c r="J384" s="90"/>
      <c r="K384" s="90"/>
      <c r="L384" s="90"/>
      <c r="M384" s="90"/>
      <c r="N384" s="90"/>
      <c r="O384" s="90"/>
    </row>
    <row r="385" spans="4:15">
      <c r="D385" s="90"/>
      <c r="E385" s="90"/>
      <c r="F385" s="90"/>
      <c r="G385" s="90"/>
      <c r="H385" s="90"/>
      <c r="I385" s="90"/>
      <c r="J385" s="90"/>
      <c r="K385" s="90"/>
      <c r="L385" s="90"/>
      <c r="M385" s="90"/>
      <c r="N385" s="90"/>
      <c r="O385" s="90"/>
    </row>
    <row r="386" spans="4:15">
      <c r="D386" s="90"/>
      <c r="E386" s="90"/>
      <c r="F386" s="90"/>
      <c r="G386" s="90"/>
      <c r="H386" s="90"/>
      <c r="I386" s="90"/>
      <c r="J386" s="90"/>
      <c r="K386" s="90"/>
      <c r="L386" s="90"/>
      <c r="M386" s="90"/>
      <c r="N386" s="90"/>
      <c r="O386" s="90"/>
    </row>
    <row r="387" spans="4:15">
      <c r="D387" s="90"/>
      <c r="E387" s="90"/>
      <c r="F387" s="90"/>
      <c r="G387" s="90"/>
      <c r="H387" s="90"/>
      <c r="I387" s="90"/>
      <c r="J387" s="90"/>
      <c r="K387" s="90"/>
      <c r="L387" s="90"/>
      <c r="M387" s="90"/>
      <c r="N387" s="90"/>
      <c r="O387" s="90"/>
    </row>
    <row r="388" spans="4:15">
      <c r="D388" s="90"/>
      <c r="E388" s="90"/>
      <c r="F388" s="90"/>
      <c r="G388" s="90"/>
      <c r="H388" s="90"/>
      <c r="I388" s="90"/>
      <c r="J388" s="90"/>
      <c r="K388" s="90"/>
      <c r="L388" s="90"/>
      <c r="M388" s="90"/>
      <c r="N388" s="90"/>
      <c r="O388" s="90"/>
    </row>
    <row r="389" spans="4:15">
      <c r="D389" s="90"/>
      <c r="E389" s="90"/>
      <c r="F389" s="90"/>
      <c r="G389" s="90"/>
      <c r="H389" s="90"/>
      <c r="I389" s="90"/>
      <c r="J389" s="90"/>
      <c r="K389" s="90"/>
      <c r="L389" s="90"/>
      <c r="M389" s="90"/>
      <c r="N389" s="90"/>
      <c r="O389" s="90"/>
    </row>
    <row r="390" spans="4:15">
      <c r="D390" s="90"/>
      <c r="E390" s="90"/>
      <c r="F390" s="90"/>
      <c r="G390" s="90"/>
      <c r="H390" s="90"/>
      <c r="I390" s="90"/>
      <c r="J390" s="90"/>
      <c r="K390" s="90"/>
      <c r="L390" s="90"/>
      <c r="M390" s="90"/>
      <c r="N390" s="90"/>
      <c r="O390" s="90"/>
    </row>
    <row r="391" spans="4:15">
      <c r="D391" s="90"/>
      <c r="E391" s="90"/>
      <c r="F391" s="90"/>
      <c r="G391" s="90"/>
      <c r="H391" s="90"/>
      <c r="I391" s="90"/>
      <c r="J391" s="90"/>
      <c r="K391" s="90"/>
      <c r="L391" s="90"/>
      <c r="M391" s="90"/>
      <c r="N391" s="90"/>
      <c r="O391" s="90"/>
    </row>
    <row r="392" spans="4:15">
      <c r="D392" s="90"/>
      <c r="E392" s="90"/>
      <c r="F392" s="90"/>
      <c r="G392" s="90"/>
      <c r="H392" s="90"/>
      <c r="I392" s="90"/>
      <c r="J392" s="90"/>
      <c r="K392" s="90"/>
      <c r="L392" s="90"/>
      <c r="M392" s="90"/>
      <c r="N392" s="90"/>
      <c r="O392" s="90"/>
    </row>
    <row r="393" spans="4:15">
      <c r="D393" s="90"/>
      <c r="E393" s="90"/>
      <c r="F393" s="90"/>
      <c r="G393" s="90"/>
      <c r="H393" s="90"/>
      <c r="I393" s="90"/>
      <c r="J393" s="90"/>
      <c r="K393" s="90"/>
      <c r="L393" s="90"/>
      <c r="M393" s="90"/>
      <c r="N393" s="90"/>
      <c r="O393" s="90"/>
    </row>
    <row r="394" spans="4:15">
      <c r="D394" s="90"/>
      <c r="E394" s="90"/>
      <c r="F394" s="90"/>
      <c r="G394" s="90"/>
      <c r="H394" s="90"/>
      <c r="I394" s="90"/>
      <c r="J394" s="90"/>
      <c r="K394" s="90"/>
      <c r="L394" s="90"/>
      <c r="M394" s="90"/>
      <c r="N394" s="90"/>
      <c r="O394" s="90"/>
    </row>
    <row r="395" spans="4:15">
      <c r="D395" s="90"/>
      <c r="E395" s="90"/>
      <c r="F395" s="90"/>
      <c r="G395" s="90"/>
      <c r="H395" s="90"/>
      <c r="I395" s="90"/>
      <c r="J395" s="90"/>
      <c r="K395" s="90"/>
      <c r="L395" s="90"/>
      <c r="M395" s="90"/>
      <c r="N395" s="90"/>
      <c r="O395" s="90"/>
    </row>
    <row r="396" spans="4:15">
      <c r="D396" s="90"/>
      <c r="E396" s="90"/>
      <c r="F396" s="90"/>
      <c r="G396" s="90"/>
      <c r="H396" s="90"/>
      <c r="I396" s="90"/>
      <c r="J396" s="90"/>
      <c r="K396" s="90"/>
      <c r="L396" s="90"/>
      <c r="M396" s="90"/>
      <c r="N396" s="90"/>
      <c r="O396" s="90"/>
    </row>
    <row r="397" spans="4:15"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</row>
    <row r="398" spans="4:15">
      <c r="D398" s="90"/>
      <c r="E398" s="90"/>
      <c r="F398" s="90"/>
      <c r="G398" s="90"/>
      <c r="H398" s="90"/>
      <c r="I398" s="90"/>
      <c r="J398" s="90"/>
      <c r="K398" s="90"/>
      <c r="L398" s="90"/>
      <c r="M398" s="90"/>
      <c r="N398" s="90"/>
      <c r="O398" s="90"/>
    </row>
    <row r="399" spans="4:15">
      <c r="D399" s="90"/>
      <c r="E399" s="90"/>
      <c r="F399" s="90"/>
      <c r="G399" s="90"/>
      <c r="H399" s="90"/>
      <c r="I399" s="90"/>
      <c r="J399" s="90"/>
      <c r="K399" s="90"/>
      <c r="L399" s="90"/>
      <c r="M399" s="90"/>
      <c r="N399" s="90"/>
      <c r="O399" s="90"/>
    </row>
    <row r="400" spans="4:15">
      <c r="D400" s="90"/>
      <c r="E400" s="90"/>
      <c r="F400" s="90"/>
      <c r="G400" s="90"/>
      <c r="H400" s="90"/>
      <c r="I400" s="90"/>
      <c r="J400" s="90"/>
      <c r="K400" s="90"/>
      <c r="L400" s="90"/>
      <c r="M400" s="90"/>
      <c r="N400" s="90"/>
      <c r="O400" s="90"/>
    </row>
    <row r="401" spans="4:15">
      <c r="D401" s="90"/>
      <c r="E401" s="90"/>
      <c r="F401" s="90"/>
      <c r="G401" s="90"/>
      <c r="H401" s="90"/>
      <c r="I401" s="90"/>
      <c r="J401" s="90"/>
      <c r="K401" s="90"/>
      <c r="L401" s="90"/>
      <c r="M401" s="90"/>
      <c r="N401" s="90"/>
      <c r="O401" s="90"/>
    </row>
    <row r="402" spans="4:15">
      <c r="D402" s="90"/>
      <c r="E402" s="90"/>
      <c r="F402" s="90"/>
      <c r="G402" s="90"/>
      <c r="H402" s="90"/>
      <c r="I402" s="90"/>
      <c r="J402" s="90"/>
      <c r="K402" s="90"/>
      <c r="L402" s="90"/>
      <c r="M402" s="90"/>
      <c r="N402" s="90"/>
      <c r="O402" s="90"/>
    </row>
    <row r="403" spans="4:15">
      <c r="D403" s="90"/>
      <c r="E403" s="90"/>
      <c r="F403" s="90"/>
      <c r="G403" s="90"/>
      <c r="H403" s="90"/>
      <c r="I403" s="90"/>
      <c r="J403" s="90"/>
      <c r="K403" s="90"/>
      <c r="L403" s="90"/>
      <c r="M403" s="90"/>
      <c r="N403" s="90"/>
      <c r="O403" s="90"/>
    </row>
    <row r="404" spans="4:15">
      <c r="D404" s="90"/>
      <c r="E404" s="90"/>
      <c r="F404" s="90"/>
      <c r="G404" s="90"/>
      <c r="H404" s="90"/>
      <c r="I404" s="90"/>
      <c r="J404" s="90"/>
      <c r="K404" s="90"/>
      <c r="L404" s="90"/>
      <c r="M404" s="90"/>
      <c r="N404" s="90"/>
      <c r="O404" s="90"/>
    </row>
    <row r="405" spans="4:15">
      <c r="D405" s="90"/>
      <c r="E405" s="90"/>
      <c r="F405" s="90"/>
      <c r="G405" s="90"/>
      <c r="H405" s="90"/>
      <c r="I405" s="90"/>
      <c r="J405" s="90"/>
      <c r="K405" s="90"/>
      <c r="L405" s="90"/>
      <c r="M405" s="90"/>
      <c r="N405" s="90"/>
      <c r="O405" s="90"/>
    </row>
    <row r="406" spans="4:15">
      <c r="D406" s="90"/>
      <c r="E406" s="90"/>
      <c r="F406" s="90"/>
      <c r="G406" s="90"/>
      <c r="H406" s="90"/>
      <c r="I406" s="90"/>
      <c r="J406" s="90"/>
      <c r="K406" s="90"/>
      <c r="L406" s="90"/>
      <c r="M406" s="90"/>
      <c r="N406" s="90"/>
      <c r="O406" s="90"/>
    </row>
    <row r="407" spans="4:15">
      <c r="D407" s="90"/>
      <c r="E407" s="90"/>
      <c r="F407" s="90"/>
      <c r="G407" s="90"/>
      <c r="H407" s="90"/>
      <c r="I407" s="90"/>
      <c r="J407" s="90"/>
      <c r="K407" s="90"/>
      <c r="L407" s="90"/>
      <c r="M407" s="90"/>
      <c r="N407" s="90"/>
      <c r="O407" s="90"/>
    </row>
    <row r="408" spans="4:15">
      <c r="D408" s="90"/>
      <c r="E408" s="90"/>
      <c r="F408" s="90"/>
      <c r="G408" s="90"/>
      <c r="H408" s="90"/>
      <c r="I408" s="90"/>
      <c r="J408" s="90"/>
      <c r="K408" s="90"/>
      <c r="L408" s="90"/>
      <c r="M408" s="90"/>
      <c r="N408" s="90"/>
      <c r="O408" s="90"/>
    </row>
    <row r="409" spans="4:15">
      <c r="D409" s="90"/>
      <c r="E409" s="90"/>
      <c r="F409" s="90"/>
      <c r="G409" s="90"/>
      <c r="H409" s="90"/>
      <c r="I409" s="90"/>
      <c r="J409" s="90"/>
      <c r="K409" s="90"/>
      <c r="L409" s="90"/>
      <c r="M409" s="90"/>
      <c r="N409" s="90"/>
      <c r="O409" s="90"/>
    </row>
    <row r="410" spans="4:15">
      <c r="D410" s="90"/>
      <c r="E410" s="90"/>
      <c r="F410" s="90"/>
      <c r="G410" s="90"/>
      <c r="H410" s="90"/>
      <c r="I410" s="90"/>
      <c r="J410" s="90"/>
      <c r="K410" s="90"/>
      <c r="L410" s="90"/>
      <c r="M410" s="90"/>
      <c r="N410" s="90"/>
      <c r="O410" s="90"/>
    </row>
    <row r="411" spans="4:15">
      <c r="D411" s="90"/>
      <c r="E411" s="90"/>
      <c r="F411" s="90"/>
      <c r="G411" s="90"/>
      <c r="H411" s="90"/>
      <c r="I411" s="90"/>
      <c r="J411" s="90"/>
      <c r="K411" s="90"/>
      <c r="L411" s="90"/>
      <c r="M411" s="90"/>
      <c r="N411" s="90"/>
      <c r="O411" s="90"/>
    </row>
    <row r="412" spans="4:15">
      <c r="D412" s="90"/>
      <c r="E412" s="90"/>
      <c r="F412" s="90"/>
      <c r="G412" s="90"/>
      <c r="H412" s="90"/>
      <c r="I412" s="90"/>
      <c r="J412" s="90"/>
      <c r="K412" s="90"/>
      <c r="L412" s="90"/>
      <c r="M412" s="90"/>
      <c r="N412" s="90"/>
      <c r="O412" s="90"/>
    </row>
    <row r="413" spans="4:15">
      <c r="D413" s="90"/>
      <c r="E413" s="90"/>
      <c r="F413" s="90"/>
      <c r="G413" s="90"/>
      <c r="H413" s="90"/>
      <c r="I413" s="90"/>
      <c r="J413" s="90"/>
      <c r="K413" s="90"/>
      <c r="L413" s="90"/>
      <c r="M413" s="90"/>
      <c r="N413" s="90"/>
      <c r="O413" s="90"/>
    </row>
    <row r="414" spans="4:15">
      <c r="D414" s="90"/>
      <c r="E414" s="90"/>
      <c r="F414" s="90"/>
      <c r="G414" s="90"/>
      <c r="H414" s="90"/>
      <c r="I414" s="90"/>
      <c r="J414" s="90"/>
      <c r="K414" s="90"/>
      <c r="L414" s="90"/>
      <c r="M414" s="90"/>
      <c r="N414" s="90"/>
      <c r="O414" s="90"/>
    </row>
    <row r="415" spans="4:15">
      <c r="D415" s="90"/>
      <c r="E415" s="90"/>
      <c r="F415" s="90"/>
      <c r="G415" s="90"/>
      <c r="H415" s="90"/>
      <c r="I415" s="90"/>
      <c r="J415" s="90"/>
      <c r="K415" s="90"/>
      <c r="L415" s="90"/>
      <c r="M415" s="90"/>
      <c r="N415" s="90"/>
      <c r="O415" s="90"/>
    </row>
    <row r="416" spans="4:15">
      <c r="D416" s="90"/>
      <c r="E416" s="90"/>
      <c r="F416" s="90"/>
      <c r="G416" s="90"/>
      <c r="H416" s="90"/>
      <c r="I416" s="90"/>
      <c r="J416" s="90"/>
      <c r="K416" s="90"/>
      <c r="L416" s="90"/>
      <c r="M416" s="90"/>
      <c r="N416" s="90"/>
      <c r="O416" s="90"/>
    </row>
    <row r="417" spans="4:15">
      <c r="D417" s="90"/>
      <c r="E417" s="90"/>
      <c r="F417" s="90"/>
      <c r="G417" s="90"/>
      <c r="H417" s="90"/>
      <c r="I417" s="90"/>
      <c r="J417" s="90"/>
      <c r="K417" s="90"/>
      <c r="L417" s="90"/>
      <c r="M417" s="90"/>
      <c r="N417" s="90"/>
      <c r="O417" s="90"/>
    </row>
    <row r="418" spans="4:15">
      <c r="D418" s="90"/>
      <c r="E418" s="90"/>
      <c r="F418" s="90"/>
      <c r="G418" s="90"/>
      <c r="H418" s="90"/>
      <c r="I418" s="90"/>
      <c r="J418" s="90"/>
      <c r="K418" s="90"/>
      <c r="L418" s="90"/>
      <c r="M418" s="90"/>
      <c r="N418" s="90"/>
      <c r="O418" s="90"/>
    </row>
    <row r="419" spans="4:15">
      <c r="D419" s="90"/>
      <c r="E419" s="90"/>
      <c r="F419" s="90"/>
      <c r="G419" s="90"/>
      <c r="H419" s="90"/>
      <c r="I419" s="90"/>
      <c r="J419" s="90"/>
      <c r="K419" s="90"/>
      <c r="L419" s="90"/>
      <c r="M419" s="90"/>
      <c r="N419" s="90"/>
      <c r="O419" s="90"/>
    </row>
    <row r="420" spans="4:15">
      <c r="D420" s="90"/>
      <c r="E420" s="90"/>
      <c r="F420" s="90"/>
      <c r="G420" s="90"/>
      <c r="H420" s="90"/>
      <c r="I420" s="90"/>
      <c r="J420" s="90"/>
      <c r="K420" s="90"/>
      <c r="L420" s="90"/>
      <c r="M420" s="90"/>
      <c r="N420" s="90"/>
      <c r="O420" s="90"/>
    </row>
    <row r="421" spans="4:15">
      <c r="D421" s="90"/>
      <c r="E421" s="90"/>
      <c r="F421" s="90"/>
      <c r="G421" s="90"/>
      <c r="H421" s="90"/>
      <c r="I421" s="90"/>
      <c r="J421" s="90"/>
      <c r="K421" s="90"/>
      <c r="L421" s="90"/>
      <c r="M421" s="90"/>
      <c r="N421" s="90"/>
      <c r="O421" s="90"/>
    </row>
    <row r="422" spans="4:15">
      <c r="D422" s="90"/>
      <c r="E422" s="90"/>
      <c r="F422" s="90"/>
      <c r="G422" s="90"/>
      <c r="H422" s="90"/>
      <c r="I422" s="90"/>
      <c r="J422" s="90"/>
      <c r="K422" s="90"/>
      <c r="L422" s="90"/>
      <c r="M422" s="90"/>
      <c r="N422" s="90"/>
      <c r="O422" s="90"/>
    </row>
    <row r="423" spans="4:15">
      <c r="D423" s="90"/>
      <c r="E423" s="90"/>
      <c r="F423" s="90"/>
      <c r="G423" s="90"/>
      <c r="H423" s="90"/>
      <c r="I423" s="90"/>
      <c r="J423" s="90"/>
      <c r="K423" s="90"/>
      <c r="L423" s="90"/>
      <c r="M423" s="90"/>
      <c r="N423" s="90"/>
      <c r="O423" s="90"/>
    </row>
    <row r="424" spans="4:15">
      <c r="D424" s="90"/>
      <c r="E424" s="90"/>
      <c r="F424" s="90"/>
      <c r="G424" s="90"/>
      <c r="H424" s="90"/>
      <c r="I424" s="90"/>
      <c r="J424" s="90"/>
      <c r="K424" s="90"/>
      <c r="L424" s="90"/>
      <c r="M424" s="90"/>
      <c r="N424" s="90"/>
      <c r="O424" s="90"/>
    </row>
    <row r="425" spans="4:15">
      <c r="D425" s="90"/>
      <c r="E425" s="90"/>
      <c r="F425" s="90"/>
      <c r="G425" s="90"/>
      <c r="H425" s="90"/>
      <c r="I425" s="90"/>
      <c r="J425" s="90"/>
      <c r="K425" s="90"/>
      <c r="L425" s="90"/>
      <c r="M425" s="90"/>
      <c r="N425" s="90"/>
      <c r="O425" s="90"/>
    </row>
    <row r="426" spans="4:15">
      <c r="D426" s="90"/>
      <c r="E426" s="90"/>
      <c r="F426" s="90"/>
      <c r="G426" s="90"/>
      <c r="H426" s="90"/>
      <c r="I426" s="90"/>
      <c r="J426" s="90"/>
      <c r="K426" s="90"/>
      <c r="L426" s="90"/>
      <c r="M426" s="90"/>
      <c r="N426" s="90"/>
      <c r="O426" s="90"/>
    </row>
    <row r="427" spans="4:15">
      <c r="D427" s="90"/>
      <c r="E427" s="90"/>
      <c r="F427" s="90"/>
      <c r="G427" s="90"/>
      <c r="H427" s="90"/>
      <c r="I427" s="90"/>
      <c r="J427" s="90"/>
      <c r="K427" s="90"/>
      <c r="L427" s="90"/>
      <c r="M427" s="90"/>
      <c r="N427" s="90"/>
      <c r="O427" s="90"/>
    </row>
    <row r="428" spans="4:15">
      <c r="D428" s="90"/>
      <c r="E428" s="90"/>
      <c r="F428" s="90"/>
      <c r="G428" s="90"/>
      <c r="H428" s="90"/>
      <c r="I428" s="90"/>
      <c r="J428" s="90"/>
      <c r="K428" s="90"/>
      <c r="L428" s="90"/>
      <c r="M428" s="90"/>
      <c r="N428" s="90"/>
      <c r="O428" s="90"/>
    </row>
    <row r="429" spans="4:15">
      <c r="D429" s="90"/>
      <c r="E429" s="90"/>
      <c r="F429" s="90"/>
      <c r="G429" s="90"/>
      <c r="H429" s="90"/>
      <c r="I429" s="90"/>
      <c r="J429" s="90"/>
      <c r="K429" s="90"/>
      <c r="L429" s="90"/>
      <c r="M429" s="90"/>
      <c r="N429" s="90"/>
      <c r="O429" s="90"/>
    </row>
    <row r="430" spans="4:15">
      <c r="D430" s="90"/>
      <c r="E430" s="90"/>
      <c r="F430" s="90"/>
      <c r="G430" s="90"/>
      <c r="H430" s="90"/>
      <c r="I430" s="90"/>
      <c r="J430" s="90"/>
      <c r="K430" s="90"/>
      <c r="L430" s="90"/>
      <c r="M430" s="90"/>
      <c r="N430" s="90"/>
      <c r="O430" s="90"/>
    </row>
    <row r="431" spans="4:15"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</row>
    <row r="432" spans="4:15">
      <c r="D432" s="90"/>
      <c r="E432" s="90"/>
      <c r="F432" s="90"/>
      <c r="G432" s="90"/>
      <c r="H432" s="90"/>
      <c r="I432" s="90"/>
      <c r="J432" s="90"/>
      <c r="K432" s="90"/>
      <c r="L432" s="90"/>
      <c r="M432" s="90"/>
      <c r="N432" s="90"/>
      <c r="O432" s="90"/>
    </row>
    <row r="433" spans="4:15">
      <c r="D433" s="90"/>
      <c r="E433" s="90"/>
      <c r="F433" s="90"/>
      <c r="G433" s="90"/>
      <c r="H433" s="90"/>
      <c r="I433" s="90"/>
      <c r="J433" s="90"/>
      <c r="K433" s="90"/>
      <c r="L433" s="90"/>
      <c r="M433" s="90"/>
      <c r="N433" s="90"/>
      <c r="O433" s="90"/>
    </row>
    <row r="434" spans="4:15">
      <c r="D434" s="90"/>
      <c r="E434" s="90"/>
      <c r="F434" s="90"/>
      <c r="G434" s="90"/>
      <c r="H434" s="90"/>
      <c r="I434" s="90"/>
      <c r="J434" s="90"/>
      <c r="K434" s="90"/>
      <c r="L434" s="90"/>
      <c r="M434" s="90"/>
      <c r="N434" s="90"/>
      <c r="O434" s="90"/>
    </row>
    <row r="435" spans="4:15">
      <c r="D435" s="90"/>
      <c r="E435" s="90"/>
      <c r="F435" s="90"/>
      <c r="G435" s="90"/>
      <c r="H435" s="90"/>
      <c r="I435" s="90"/>
      <c r="J435" s="90"/>
      <c r="K435" s="90"/>
      <c r="L435" s="90"/>
      <c r="M435" s="90"/>
      <c r="N435" s="90"/>
      <c r="O435" s="90"/>
    </row>
    <row r="436" spans="4:15">
      <c r="D436" s="90"/>
      <c r="E436" s="90"/>
      <c r="F436" s="90"/>
      <c r="G436" s="90"/>
      <c r="H436" s="90"/>
      <c r="I436" s="90"/>
      <c r="J436" s="90"/>
      <c r="K436" s="90"/>
      <c r="L436" s="90"/>
      <c r="M436" s="90"/>
      <c r="N436" s="90"/>
      <c r="O436" s="90"/>
    </row>
    <row r="437" spans="4:15">
      <c r="D437" s="90"/>
      <c r="E437" s="90"/>
      <c r="F437" s="90"/>
      <c r="G437" s="90"/>
      <c r="H437" s="90"/>
      <c r="I437" s="90"/>
      <c r="J437" s="90"/>
      <c r="K437" s="90"/>
      <c r="L437" s="90"/>
      <c r="M437" s="90"/>
      <c r="N437" s="90"/>
      <c r="O437" s="90"/>
    </row>
    <row r="438" spans="4:15">
      <c r="D438" s="90"/>
      <c r="E438" s="90"/>
      <c r="F438" s="90"/>
      <c r="G438" s="90"/>
      <c r="H438" s="90"/>
      <c r="I438" s="90"/>
      <c r="J438" s="90"/>
      <c r="K438" s="90"/>
      <c r="L438" s="90"/>
      <c r="M438" s="90"/>
      <c r="N438" s="90"/>
      <c r="O438" s="90"/>
    </row>
    <row r="439" spans="4:15">
      <c r="D439" s="90"/>
      <c r="E439" s="90"/>
      <c r="F439" s="90"/>
      <c r="G439" s="90"/>
      <c r="H439" s="90"/>
      <c r="I439" s="90"/>
      <c r="J439" s="90"/>
      <c r="K439" s="90"/>
      <c r="L439" s="90"/>
      <c r="M439" s="90"/>
      <c r="N439" s="90"/>
      <c r="O439" s="90"/>
    </row>
    <row r="440" spans="4:15">
      <c r="D440" s="90"/>
      <c r="E440" s="90"/>
      <c r="F440" s="90"/>
      <c r="G440" s="90"/>
      <c r="H440" s="90"/>
      <c r="I440" s="90"/>
      <c r="J440" s="90"/>
      <c r="K440" s="90"/>
      <c r="L440" s="90"/>
      <c r="M440" s="90"/>
      <c r="N440" s="90"/>
      <c r="O440" s="90"/>
    </row>
    <row r="441" spans="4:15">
      <c r="D441" s="90"/>
      <c r="E441" s="90"/>
      <c r="F441" s="90"/>
      <c r="G441" s="90"/>
      <c r="H441" s="90"/>
      <c r="I441" s="90"/>
      <c r="J441" s="90"/>
      <c r="K441" s="90"/>
      <c r="L441" s="90"/>
      <c r="M441" s="90"/>
      <c r="N441" s="90"/>
      <c r="O441" s="90"/>
    </row>
    <row r="442" spans="4:15">
      <c r="D442" s="90"/>
      <c r="E442" s="90"/>
      <c r="F442" s="90"/>
      <c r="G442" s="90"/>
      <c r="H442" s="90"/>
      <c r="I442" s="90"/>
      <c r="J442" s="90"/>
      <c r="K442" s="90"/>
      <c r="L442" s="90"/>
      <c r="M442" s="90"/>
      <c r="N442" s="90"/>
      <c r="O442" s="90"/>
    </row>
    <row r="443" spans="4:15">
      <c r="D443" s="90"/>
      <c r="E443" s="90"/>
      <c r="F443" s="90"/>
      <c r="G443" s="90"/>
      <c r="H443" s="90"/>
      <c r="I443" s="90"/>
      <c r="J443" s="90"/>
      <c r="K443" s="90"/>
      <c r="L443" s="90"/>
      <c r="M443" s="90"/>
      <c r="N443" s="90"/>
      <c r="O443" s="90"/>
    </row>
    <row r="444" spans="4:15">
      <c r="D444" s="90"/>
      <c r="E444" s="90"/>
      <c r="F444" s="90"/>
      <c r="G444" s="90"/>
      <c r="H444" s="90"/>
      <c r="I444" s="90"/>
      <c r="J444" s="90"/>
      <c r="K444" s="90"/>
      <c r="L444" s="90"/>
      <c r="M444" s="90"/>
      <c r="N444" s="90"/>
      <c r="O444" s="90"/>
    </row>
    <row r="445" spans="4:15">
      <c r="D445" s="90"/>
      <c r="E445" s="90"/>
      <c r="F445" s="90"/>
      <c r="G445" s="90"/>
      <c r="H445" s="90"/>
      <c r="I445" s="90"/>
      <c r="J445" s="90"/>
      <c r="K445" s="90"/>
      <c r="L445" s="90"/>
      <c r="M445" s="90"/>
      <c r="N445" s="90"/>
      <c r="O445" s="90"/>
    </row>
    <row r="446" spans="4:15"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</row>
    <row r="447" spans="4:15">
      <c r="D447" s="90"/>
      <c r="E447" s="90"/>
      <c r="F447" s="90"/>
      <c r="G447" s="90"/>
      <c r="H447" s="90"/>
      <c r="I447" s="90"/>
      <c r="J447" s="90"/>
      <c r="K447" s="90"/>
      <c r="L447" s="90"/>
      <c r="M447" s="90"/>
      <c r="N447" s="90"/>
      <c r="O447" s="90"/>
    </row>
    <row r="448" spans="4:15">
      <c r="D448" s="90"/>
      <c r="E448" s="90"/>
      <c r="F448" s="90"/>
      <c r="G448" s="90"/>
      <c r="H448" s="90"/>
      <c r="I448" s="90"/>
      <c r="J448" s="90"/>
      <c r="K448" s="90"/>
      <c r="L448" s="90"/>
      <c r="M448" s="90"/>
      <c r="N448" s="90"/>
      <c r="O448" s="90"/>
    </row>
    <row r="449" spans="4:15">
      <c r="D449" s="90"/>
      <c r="E449" s="90"/>
      <c r="F449" s="90"/>
      <c r="G449" s="90"/>
      <c r="H449" s="90"/>
      <c r="I449" s="90"/>
      <c r="J449" s="90"/>
      <c r="K449" s="90"/>
      <c r="L449" s="90"/>
      <c r="M449" s="90"/>
      <c r="N449" s="90"/>
      <c r="O449" s="90"/>
    </row>
    <row r="450" spans="4:15">
      <c r="D450" s="90"/>
      <c r="E450" s="90"/>
      <c r="F450" s="90"/>
      <c r="G450" s="90"/>
      <c r="H450" s="90"/>
      <c r="I450" s="90"/>
      <c r="J450" s="90"/>
      <c r="K450" s="90"/>
      <c r="L450" s="90"/>
      <c r="M450" s="90"/>
      <c r="N450" s="90"/>
      <c r="O450" s="90"/>
    </row>
    <row r="451" spans="4:15">
      <c r="D451" s="90"/>
      <c r="E451" s="90"/>
      <c r="F451" s="90"/>
      <c r="G451" s="90"/>
      <c r="H451" s="90"/>
      <c r="I451" s="90"/>
      <c r="J451" s="90"/>
      <c r="K451" s="90"/>
      <c r="L451" s="90"/>
      <c r="M451" s="90"/>
      <c r="N451" s="90"/>
      <c r="O451" s="90"/>
    </row>
    <row r="452" spans="4:15">
      <c r="D452" s="90"/>
      <c r="E452" s="90"/>
      <c r="F452" s="90"/>
      <c r="G452" s="90"/>
      <c r="H452" s="90"/>
      <c r="I452" s="90"/>
      <c r="J452" s="90"/>
      <c r="K452" s="90"/>
      <c r="L452" s="90"/>
      <c r="M452" s="90"/>
      <c r="N452" s="90"/>
      <c r="O452" s="90"/>
    </row>
    <row r="453" spans="4:15">
      <c r="D453" s="90"/>
      <c r="E453" s="90"/>
      <c r="F453" s="90"/>
      <c r="G453" s="90"/>
      <c r="H453" s="90"/>
      <c r="I453" s="90"/>
      <c r="J453" s="90"/>
      <c r="K453" s="90"/>
      <c r="L453" s="90"/>
      <c r="M453" s="90"/>
      <c r="N453" s="90"/>
      <c r="O453" s="90"/>
    </row>
    <row r="454" spans="4:15">
      <c r="D454" s="90"/>
      <c r="E454" s="90"/>
      <c r="F454" s="90"/>
      <c r="G454" s="90"/>
      <c r="H454" s="90"/>
      <c r="I454" s="90"/>
      <c r="J454" s="90"/>
      <c r="K454" s="90"/>
      <c r="L454" s="90"/>
      <c r="M454" s="90"/>
      <c r="N454" s="90"/>
      <c r="O454" s="90"/>
    </row>
    <row r="455" spans="4:15">
      <c r="D455" s="90"/>
      <c r="E455" s="90"/>
      <c r="F455" s="90"/>
      <c r="G455" s="90"/>
      <c r="H455" s="90"/>
      <c r="I455" s="90"/>
      <c r="J455" s="90"/>
      <c r="K455" s="90"/>
      <c r="L455" s="90"/>
      <c r="M455" s="90"/>
      <c r="N455" s="90"/>
      <c r="O455" s="90"/>
    </row>
    <row r="456" spans="4:15">
      <c r="D456" s="90"/>
      <c r="E456" s="90"/>
      <c r="F456" s="90"/>
      <c r="G456" s="90"/>
      <c r="H456" s="90"/>
      <c r="I456" s="90"/>
      <c r="J456" s="90"/>
      <c r="K456" s="90"/>
      <c r="L456" s="90"/>
      <c r="M456" s="90"/>
      <c r="N456" s="90"/>
      <c r="O456" s="90"/>
    </row>
    <row r="457" spans="4:15">
      <c r="D457" s="90"/>
      <c r="E457" s="90"/>
      <c r="F457" s="90"/>
      <c r="G457" s="90"/>
      <c r="H457" s="90"/>
      <c r="I457" s="90"/>
      <c r="J457" s="90"/>
      <c r="K457" s="90"/>
      <c r="L457" s="90"/>
      <c r="M457" s="90"/>
      <c r="N457" s="90"/>
      <c r="O457" s="90"/>
    </row>
    <row r="458" spans="4:15">
      <c r="D458" s="90"/>
      <c r="E458" s="90"/>
      <c r="F458" s="90"/>
      <c r="G458" s="90"/>
      <c r="H458" s="90"/>
      <c r="I458" s="90"/>
      <c r="J458" s="90"/>
      <c r="K458" s="90"/>
      <c r="L458" s="90"/>
      <c r="M458" s="90"/>
      <c r="N458" s="90"/>
      <c r="O458" s="90"/>
    </row>
    <row r="459" spans="4:15">
      <c r="D459" s="90"/>
      <c r="E459" s="90"/>
      <c r="F459" s="90"/>
      <c r="G459" s="90"/>
      <c r="H459" s="90"/>
      <c r="I459" s="90"/>
      <c r="J459" s="90"/>
      <c r="K459" s="90"/>
      <c r="L459" s="90"/>
      <c r="M459" s="90"/>
      <c r="N459" s="90"/>
      <c r="O459" s="90"/>
    </row>
    <row r="460" spans="4:15">
      <c r="D460" s="90"/>
      <c r="E460" s="90"/>
      <c r="F460" s="90"/>
      <c r="G460" s="90"/>
      <c r="H460" s="90"/>
      <c r="I460" s="90"/>
      <c r="J460" s="90"/>
      <c r="K460" s="90"/>
      <c r="L460" s="90"/>
      <c r="M460" s="90"/>
      <c r="N460" s="90"/>
      <c r="O460" s="90"/>
    </row>
    <row r="461" spans="4:15">
      <c r="D461" s="90"/>
      <c r="E461" s="90"/>
      <c r="F461" s="90"/>
      <c r="G461" s="90"/>
      <c r="H461" s="90"/>
      <c r="I461" s="90"/>
      <c r="J461" s="90"/>
      <c r="K461" s="90"/>
      <c r="L461" s="90"/>
      <c r="M461" s="90"/>
      <c r="N461" s="90"/>
      <c r="O461" s="90"/>
    </row>
    <row r="462" spans="4:15">
      <c r="D462" s="90"/>
      <c r="E462" s="90"/>
      <c r="F462" s="90"/>
      <c r="G462" s="90"/>
      <c r="H462" s="90"/>
      <c r="I462" s="90"/>
      <c r="J462" s="90"/>
      <c r="K462" s="90"/>
      <c r="L462" s="90"/>
      <c r="M462" s="90"/>
      <c r="N462" s="90"/>
      <c r="O462" s="90"/>
    </row>
    <row r="463" spans="4:15">
      <c r="D463" s="90"/>
      <c r="E463" s="90"/>
      <c r="F463" s="90"/>
      <c r="G463" s="90"/>
      <c r="H463" s="90"/>
      <c r="I463" s="90"/>
      <c r="J463" s="90"/>
      <c r="K463" s="90"/>
      <c r="L463" s="90"/>
      <c r="M463" s="90"/>
      <c r="N463" s="90"/>
      <c r="O463" s="90"/>
    </row>
    <row r="464" spans="4:15">
      <c r="D464" s="90"/>
      <c r="E464" s="90"/>
      <c r="F464" s="90"/>
      <c r="G464" s="90"/>
      <c r="H464" s="90"/>
      <c r="I464" s="90"/>
      <c r="J464" s="90"/>
      <c r="K464" s="90"/>
      <c r="L464" s="90"/>
      <c r="M464" s="90"/>
      <c r="N464" s="90"/>
      <c r="O464" s="90"/>
    </row>
    <row r="465" spans="4:15">
      <c r="D465" s="90"/>
      <c r="E465" s="90"/>
      <c r="F465" s="90"/>
      <c r="G465" s="90"/>
      <c r="H465" s="90"/>
      <c r="I465" s="90"/>
      <c r="J465" s="90"/>
      <c r="K465" s="90"/>
      <c r="L465" s="90"/>
      <c r="M465" s="90"/>
      <c r="N465" s="90"/>
      <c r="O465" s="90"/>
    </row>
    <row r="466" spans="4:15">
      <c r="D466" s="90"/>
      <c r="E466" s="90"/>
      <c r="F466" s="90"/>
      <c r="G466" s="90"/>
      <c r="H466" s="90"/>
      <c r="I466" s="90"/>
      <c r="J466" s="90"/>
      <c r="K466" s="90"/>
      <c r="L466" s="90"/>
      <c r="M466" s="90"/>
      <c r="N466" s="90"/>
      <c r="O466" s="90"/>
    </row>
    <row r="467" spans="4:15">
      <c r="D467" s="90"/>
      <c r="E467" s="90"/>
      <c r="F467" s="90"/>
      <c r="G467" s="90"/>
      <c r="H467" s="90"/>
      <c r="I467" s="90"/>
      <c r="J467" s="90"/>
      <c r="K467" s="90"/>
      <c r="L467" s="90"/>
      <c r="M467" s="90"/>
      <c r="N467" s="90"/>
      <c r="O467" s="90"/>
    </row>
    <row r="468" spans="4:15">
      <c r="D468" s="90"/>
      <c r="E468" s="90"/>
      <c r="F468" s="90"/>
      <c r="G468" s="90"/>
      <c r="H468" s="90"/>
      <c r="I468" s="90"/>
      <c r="J468" s="90"/>
      <c r="K468" s="90"/>
      <c r="L468" s="90"/>
      <c r="M468" s="90"/>
      <c r="N468" s="90"/>
      <c r="O468" s="90"/>
    </row>
    <row r="469" spans="4:15">
      <c r="D469" s="90"/>
      <c r="E469" s="90"/>
      <c r="F469" s="90"/>
      <c r="G469" s="90"/>
      <c r="H469" s="90"/>
      <c r="I469" s="90"/>
      <c r="J469" s="90"/>
      <c r="K469" s="90"/>
      <c r="L469" s="90"/>
      <c r="M469" s="90"/>
      <c r="N469" s="90"/>
      <c r="O469" s="90"/>
    </row>
    <row r="470" spans="4:15">
      <c r="D470" s="90"/>
      <c r="E470" s="90"/>
      <c r="F470" s="90"/>
      <c r="G470" s="90"/>
      <c r="H470" s="90"/>
      <c r="I470" s="90"/>
      <c r="J470" s="90"/>
      <c r="K470" s="90"/>
      <c r="L470" s="90"/>
      <c r="M470" s="90"/>
      <c r="N470" s="90"/>
      <c r="O470" s="90"/>
    </row>
    <row r="471" spans="4:15">
      <c r="D471" s="90"/>
      <c r="E471" s="90"/>
      <c r="F471" s="90"/>
      <c r="G471" s="90"/>
      <c r="H471" s="90"/>
      <c r="I471" s="90"/>
      <c r="J471" s="90"/>
      <c r="K471" s="90"/>
      <c r="L471" s="90"/>
      <c r="M471" s="90"/>
      <c r="N471" s="90"/>
      <c r="O471" s="90"/>
    </row>
    <row r="472" spans="4:15">
      <c r="D472" s="90"/>
      <c r="E472" s="90"/>
      <c r="F472" s="90"/>
      <c r="G472" s="90"/>
      <c r="H472" s="90"/>
      <c r="I472" s="90"/>
      <c r="J472" s="90"/>
      <c r="K472" s="90"/>
      <c r="L472" s="90"/>
      <c r="M472" s="90"/>
      <c r="N472" s="90"/>
      <c r="O472" s="90"/>
    </row>
    <row r="473" spans="4:15">
      <c r="D473" s="90"/>
      <c r="E473" s="90"/>
      <c r="F473" s="90"/>
      <c r="G473" s="90"/>
      <c r="H473" s="90"/>
      <c r="I473" s="90"/>
      <c r="J473" s="90"/>
      <c r="K473" s="90"/>
      <c r="L473" s="90"/>
      <c r="M473" s="90"/>
      <c r="N473" s="90"/>
      <c r="O473" s="90"/>
    </row>
    <row r="474" spans="4:15">
      <c r="D474" s="90"/>
      <c r="E474" s="90"/>
      <c r="F474" s="90"/>
      <c r="G474" s="90"/>
      <c r="H474" s="90"/>
      <c r="I474" s="90"/>
      <c r="J474" s="90"/>
      <c r="K474" s="90"/>
      <c r="L474" s="90"/>
      <c r="M474" s="90"/>
      <c r="N474" s="90"/>
      <c r="O474" s="90"/>
    </row>
    <row r="475" spans="4:15">
      <c r="D475" s="90"/>
      <c r="E475" s="90"/>
      <c r="F475" s="90"/>
      <c r="G475" s="90"/>
      <c r="H475" s="90"/>
      <c r="I475" s="90"/>
      <c r="J475" s="90"/>
      <c r="K475" s="90"/>
      <c r="L475" s="90"/>
      <c r="M475" s="90"/>
      <c r="N475" s="90"/>
      <c r="O475" s="90"/>
    </row>
    <row r="476" spans="4:15">
      <c r="D476" s="90"/>
      <c r="E476" s="90"/>
      <c r="F476" s="90"/>
      <c r="G476" s="90"/>
      <c r="H476" s="90"/>
      <c r="I476" s="90"/>
      <c r="J476" s="90"/>
      <c r="K476" s="90"/>
      <c r="L476" s="90"/>
      <c r="M476" s="90"/>
      <c r="N476" s="90"/>
      <c r="O476" s="90"/>
    </row>
    <row r="477" spans="4:15">
      <c r="D477" s="90"/>
      <c r="E477" s="90"/>
      <c r="F477" s="90"/>
      <c r="G477" s="90"/>
      <c r="H477" s="90"/>
      <c r="I477" s="90"/>
      <c r="J477" s="90"/>
      <c r="K477" s="90"/>
      <c r="L477" s="90"/>
      <c r="M477" s="90"/>
      <c r="N477" s="90"/>
      <c r="O477" s="90"/>
    </row>
    <row r="478" spans="4:15">
      <c r="D478" s="90"/>
      <c r="E478" s="90"/>
      <c r="F478" s="90"/>
      <c r="G478" s="90"/>
      <c r="H478" s="90"/>
      <c r="I478" s="90"/>
      <c r="J478" s="90"/>
      <c r="K478" s="90"/>
      <c r="L478" s="90"/>
      <c r="M478" s="90"/>
      <c r="N478" s="90"/>
      <c r="O478" s="90"/>
    </row>
    <row r="479" spans="4:15">
      <c r="D479" s="90"/>
      <c r="E479" s="90"/>
      <c r="F479" s="90"/>
      <c r="G479" s="90"/>
      <c r="H479" s="90"/>
      <c r="I479" s="90"/>
      <c r="J479" s="90"/>
      <c r="K479" s="90"/>
      <c r="L479" s="90"/>
      <c r="M479" s="90"/>
      <c r="N479" s="90"/>
      <c r="O479" s="90"/>
    </row>
    <row r="480" spans="4:15">
      <c r="D480" s="90"/>
      <c r="E480" s="90"/>
      <c r="F480" s="90"/>
      <c r="G480" s="90"/>
      <c r="H480" s="90"/>
      <c r="I480" s="90"/>
      <c r="J480" s="90"/>
      <c r="K480" s="90"/>
      <c r="L480" s="90"/>
      <c r="M480" s="90"/>
      <c r="N480" s="90"/>
      <c r="O480" s="90"/>
    </row>
    <row r="481" spans="4:15">
      <c r="D481" s="90"/>
      <c r="E481" s="90"/>
      <c r="F481" s="90"/>
      <c r="G481" s="90"/>
      <c r="H481" s="90"/>
      <c r="I481" s="90"/>
      <c r="J481" s="90"/>
      <c r="K481" s="90"/>
      <c r="L481" s="90"/>
      <c r="M481" s="90"/>
      <c r="N481" s="90"/>
      <c r="O481" s="90"/>
    </row>
    <row r="482" spans="4:15">
      <c r="D482" s="90"/>
      <c r="E482" s="90"/>
      <c r="F482" s="90"/>
      <c r="G482" s="90"/>
      <c r="H482" s="90"/>
      <c r="I482" s="90"/>
      <c r="J482" s="90"/>
      <c r="K482" s="90"/>
      <c r="L482" s="90"/>
      <c r="M482" s="90"/>
      <c r="N482" s="90"/>
      <c r="O482" s="90"/>
    </row>
    <row r="483" spans="4:15">
      <c r="D483" s="90"/>
      <c r="E483" s="90"/>
      <c r="F483" s="90"/>
      <c r="G483" s="90"/>
      <c r="H483" s="90"/>
      <c r="I483" s="90"/>
      <c r="J483" s="90"/>
      <c r="K483" s="90"/>
      <c r="L483" s="90"/>
      <c r="M483" s="90"/>
      <c r="N483" s="90"/>
      <c r="O483" s="90"/>
    </row>
    <row r="484" spans="4:15">
      <c r="D484" s="90"/>
      <c r="E484" s="90"/>
      <c r="F484" s="90"/>
      <c r="G484" s="90"/>
      <c r="H484" s="90"/>
      <c r="I484" s="90"/>
      <c r="J484" s="90"/>
      <c r="K484" s="90"/>
      <c r="L484" s="90"/>
      <c r="M484" s="90"/>
      <c r="N484" s="90"/>
      <c r="O484" s="90"/>
    </row>
    <row r="485" spans="4:15">
      <c r="D485" s="90"/>
      <c r="E485" s="90"/>
      <c r="F485" s="90"/>
      <c r="G485" s="90"/>
      <c r="H485" s="90"/>
      <c r="I485" s="90"/>
      <c r="J485" s="90"/>
      <c r="K485" s="90"/>
      <c r="L485" s="90"/>
      <c r="M485" s="90"/>
      <c r="N485" s="90"/>
      <c r="O485" s="90"/>
    </row>
    <row r="486" spans="4:15">
      <c r="D486" s="90"/>
      <c r="E486" s="90"/>
      <c r="F486" s="90"/>
      <c r="G486" s="90"/>
      <c r="H486" s="90"/>
      <c r="I486" s="90"/>
      <c r="J486" s="90"/>
      <c r="K486" s="90"/>
      <c r="L486" s="90"/>
      <c r="M486" s="90"/>
      <c r="N486" s="90"/>
      <c r="O486" s="90"/>
    </row>
    <row r="487" spans="4:15">
      <c r="D487" s="90"/>
      <c r="E487" s="90"/>
      <c r="F487" s="90"/>
      <c r="G487" s="90"/>
      <c r="H487" s="90"/>
      <c r="I487" s="90"/>
      <c r="J487" s="90"/>
      <c r="K487" s="90"/>
      <c r="L487" s="90"/>
      <c r="M487" s="90"/>
      <c r="N487" s="90"/>
      <c r="O487" s="90"/>
    </row>
    <row r="488" spans="4:15">
      <c r="D488" s="90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</row>
    <row r="489" spans="4:15">
      <c r="D489" s="90"/>
      <c r="E489" s="90"/>
      <c r="F489" s="90"/>
      <c r="G489" s="90"/>
      <c r="H489" s="90"/>
      <c r="I489" s="90"/>
      <c r="J489" s="90"/>
      <c r="K489" s="90"/>
      <c r="L489" s="90"/>
      <c r="M489" s="90"/>
      <c r="N489" s="90"/>
      <c r="O489" s="90"/>
    </row>
    <row r="490" spans="4:15">
      <c r="D490" s="90"/>
      <c r="E490" s="90"/>
      <c r="F490" s="90"/>
      <c r="G490" s="90"/>
      <c r="H490" s="90"/>
      <c r="I490" s="90"/>
      <c r="J490" s="90"/>
      <c r="K490" s="90"/>
      <c r="L490" s="90"/>
      <c r="M490" s="90"/>
      <c r="N490" s="90"/>
      <c r="O490" s="90"/>
    </row>
    <row r="491" spans="4:15">
      <c r="D491" s="90"/>
      <c r="E491" s="90"/>
      <c r="F491" s="90"/>
      <c r="G491" s="90"/>
      <c r="H491" s="90"/>
      <c r="I491" s="90"/>
      <c r="J491" s="90"/>
      <c r="K491" s="90"/>
      <c r="L491" s="90"/>
      <c r="M491" s="90"/>
      <c r="N491" s="90"/>
      <c r="O491" s="90"/>
    </row>
    <row r="492" spans="4:15">
      <c r="D492" s="90"/>
      <c r="E492" s="90"/>
      <c r="F492" s="90"/>
      <c r="G492" s="90"/>
      <c r="H492" s="90"/>
      <c r="I492" s="90"/>
      <c r="J492" s="90"/>
      <c r="K492" s="90"/>
      <c r="L492" s="90"/>
      <c r="M492" s="90"/>
      <c r="N492" s="90"/>
      <c r="O492" s="90"/>
    </row>
    <row r="493" spans="4:15">
      <c r="D493" s="90"/>
      <c r="E493" s="90"/>
      <c r="F493" s="90"/>
      <c r="G493" s="90"/>
      <c r="H493" s="90"/>
      <c r="I493" s="90"/>
      <c r="J493" s="90"/>
      <c r="K493" s="90"/>
      <c r="L493" s="90"/>
      <c r="M493" s="90"/>
      <c r="N493" s="90"/>
      <c r="O493" s="90"/>
    </row>
    <row r="494" spans="4:15">
      <c r="D494" s="90"/>
      <c r="E494" s="90"/>
      <c r="F494" s="90"/>
      <c r="G494" s="90"/>
      <c r="H494" s="90"/>
      <c r="I494" s="90"/>
      <c r="J494" s="90"/>
      <c r="K494" s="90"/>
      <c r="L494" s="90"/>
      <c r="M494" s="90"/>
      <c r="N494" s="90"/>
      <c r="O494" s="90"/>
    </row>
    <row r="495" spans="4:15"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</row>
    <row r="496" spans="4:15">
      <c r="D496" s="90"/>
      <c r="E496" s="90"/>
      <c r="F496" s="90"/>
      <c r="G496" s="90"/>
      <c r="H496" s="90"/>
      <c r="I496" s="90"/>
      <c r="J496" s="90"/>
      <c r="K496" s="90"/>
      <c r="L496" s="90"/>
      <c r="M496" s="90"/>
      <c r="N496" s="90"/>
      <c r="O496" s="90"/>
    </row>
    <row r="497" spans="4:15">
      <c r="D497" s="90"/>
      <c r="E497" s="90"/>
      <c r="F497" s="90"/>
      <c r="G497" s="90"/>
      <c r="H497" s="90"/>
      <c r="I497" s="90"/>
      <c r="J497" s="90"/>
      <c r="K497" s="90"/>
      <c r="L497" s="90"/>
      <c r="M497" s="90"/>
      <c r="N497" s="90"/>
      <c r="O497" s="90"/>
    </row>
    <row r="498" spans="4:15">
      <c r="D498" s="90"/>
      <c r="E498" s="90"/>
      <c r="F498" s="90"/>
      <c r="G498" s="90"/>
      <c r="H498" s="90"/>
      <c r="I498" s="90"/>
      <c r="J498" s="90"/>
      <c r="K498" s="90"/>
      <c r="L498" s="90"/>
      <c r="M498" s="90"/>
      <c r="N498" s="90"/>
      <c r="O498" s="90"/>
    </row>
    <row r="499" spans="4:15">
      <c r="D499" s="90"/>
      <c r="E499" s="90"/>
      <c r="F499" s="90"/>
      <c r="G499" s="90"/>
      <c r="H499" s="90"/>
      <c r="I499" s="90"/>
      <c r="J499" s="90"/>
      <c r="K499" s="90"/>
      <c r="L499" s="90"/>
      <c r="M499" s="90"/>
      <c r="N499" s="90"/>
      <c r="O499" s="90"/>
    </row>
    <row r="500" spans="4:15">
      <c r="D500" s="90"/>
      <c r="E500" s="90"/>
      <c r="F500" s="90"/>
      <c r="G500" s="90"/>
      <c r="H500" s="90"/>
      <c r="I500" s="90"/>
      <c r="J500" s="90"/>
      <c r="K500" s="90"/>
      <c r="L500" s="90"/>
      <c r="M500" s="90"/>
      <c r="N500" s="90"/>
      <c r="O500" s="90"/>
    </row>
    <row r="501" spans="4:15">
      <c r="D501" s="90"/>
      <c r="E501" s="90"/>
      <c r="F501" s="90"/>
      <c r="G501" s="90"/>
      <c r="H501" s="90"/>
      <c r="I501" s="90"/>
      <c r="J501" s="90"/>
      <c r="K501" s="90"/>
      <c r="L501" s="90"/>
      <c r="M501" s="90"/>
      <c r="N501" s="90"/>
      <c r="O501" s="90"/>
    </row>
    <row r="502" spans="4:15">
      <c r="D502" s="90"/>
      <c r="E502" s="90"/>
      <c r="F502" s="90"/>
      <c r="G502" s="90"/>
      <c r="H502" s="90"/>
      <c r="I502" s="90"/>
      <c r="J502" s="90"/>
      <c r="K502" s="90"/>
      <c r="L502" s="90"/>
      <c r="M502" s="90"/>
      <c r="N502" s="90"/>
      <c r="O502" s="90"/>
    </row>
    <row r="503" spans="4:15">
      <c r="D503" s="90"/>
      <c r="E503" s="90"/>
      <c r="F503" s="90"/>
      <c r="G503" s="90"/>
      <c r="H503" s="90"/>
      <c r="I503" s="90"/>
      <c r="J503" s="90"/>
      <c r="K503" s="90"/>
      <c r="L503" s="90"/>
      <c r="M503" s="90"/>
      <c r="N503" s="90"/>
      <c r="O503" s="90"/>
    </row>
    <row r="504" spans="4:15">
      <c r="D504" s="90"/>
      <c r="E504" s="90"/>
      <c r="F504" s="90"/>
      <c r="G504" s="90"/>
      <c r="H504" s="90"/>
      <c r="I504" s="90"/>
      <c r="J504" s="90"/>
      <c r="K504" s="90"/>
      <c r="L504" s="90"/>
      <c r="M504" s="90"/>
      <c r="N504" s="90"/>
      <c r="O504" s="90"/>
    </row>
    <row r="505" spans="4:15">
      <c r="D505" s="90"/>
      <c r="E505" s="90"/>
      <c r="F505" s="90"/>
      <c r="G505" s="90"/>
      <c r="H505" s="90"/>
      <c r="I505" s="90"/>
      <c r="J505" s="90"/>
      <c r="K505" s="90"/>
      <c r="L505" s="90"/>
      <c r="M505" s="90"/>
      <c r="N505" s="90"/>
      <c r="O505" s="90"/>
    </row>
    <row r="506" spans="4:15">
      <c r="D506" s="90"/>
      <c r="E506" s="90"/>
      <c r="F506" s="90"/>
      <c r="G506" s="90"/>
      <c r="H506" s="90"/>
      <c r="I506" s="90"/>
      <c r="J506" s="90"/>
      <c r="K506" s="90"/>
      <c r="L506" s="90"/>
      <c r="M506" s="90"/>
      <c r="N506" s="90"/>
      <c r="O506" s="90"/>
    </row>
    <row r="507" spans="4:15">
      <c r="D507" s="90"/>
      <c r="E507" s="90"/>
      <c r="F507" s="90"/>
      <c r="G507" s="90"/>
      <c r="H507" s="90"/>
      <c r="I507" s="90"/>
      <c r="J507" s="90"/>
      <c r="K507" s="90"/>
      <c r="L507" s="90"/>
      <c r="M507" s="90"/>
      <c r="N507" s="90"/>
      <c r="O507" s="90"/>
    </row>
    <row r="508" spans="4:15">
      <c r="D508" s="90"/>
      <c r="E508" s="90"/>
      <c r="F508" s="90"/>
      <c r="G508" s="90"/>
      <c r="H508" s="90"/>
      <c r="I508" s="90"/>
      <c r="J508" s="90"/>
      <c r="K508" s="90"/>
      <c r="L508" s="90"/>
      <c r="M508" s="90"/>
      <c r="N508" s="90"/>
      <c r="O508" s="90"/>
    </row>
    <row r="509" spans="4:15">
      <c r="D509" s="90"/>
      <c r="E509" s="90"/>
      <c r="F509" s="90"/>
      <c r="G509" s="90"/>
      <c r="H509" s="90"/>
      <c r="I509" s="90"/>
      <c r="J509" s="90"/>
      <c r="K509" s="90"/>
      <c r="L509" s="90"/>
      <c r="M509" s="90"/>
      <c r="N509" s="90"/>
      <c r="O509" s="90"/>
    </row>
    <row r="510" spans="4:15">
      <c r="D510" s="90"/>
      <c r="E510" s="90"/>
      <c r="F510" s="90"/>
      <c r="G510" s="90"/>
      <c r="H510" s="90"/>
      <c r="I510" s="90"/>
      <c r="J510" s="90"/>
      <c r="K510" s="90"/>
      <c r="L510" s="90"/>
      <c r="M510" s="90"/>
      <c r="N510" s="90"/>
      <c r="O510" s="90"/>
    </row>
    <row r="511" spans="4:15">
      <c r="D511" s="90"/>
      <c r="E511" s="90"/>
      <c r="F511" s="90"/>
      <c r="G511" s="90"/>
      <c r="H511" s="90"/>
      <c r="I511" s="90"/>
      <c r="J511" s="90"/>
      <c r="K511" s="90"/>
      <c r="L511" s="90"/>
      <c r="M511" s="90"/>
      <c r="N511" s="90"/>
      <c r="O511" s="90"/>
    </row>
    <row r="512" spans="4:15">
      <c r="D512" s="90"/>
      <c r="E512" s="90"/>
      <c r="F512" s="90"/>
      <c r="G512" s="90"/>
      <c r="H512" s="90"/>
      <c r="I512" s="90"/>
      <c r="J512" s="90"/>
      <c r="K512" s="90"/>
      <c r="L512" s="90"/>
      <c r="M512" s="90"/>
      <c r="N512" s="90"/>
      <c r="O512" s="90"/>
    </row>
    <row r="513" spans="4:15">
      <c r="D513" s="90"/>
      <c r="E513" s="90"/>
      <c r="F513" s="90"/>
      <c r="G513" s="90"/>
      <c r="H513" s="90"/>
      <c r="I513" s="90"/>
      <c r="J513" s="90"/>
      <c r="K513" s="90"/>
      <c r="L513" s="90"/>
      <c r="M513" s="90"/>
      <c r="N513" s="90"/>
      <c r="O513" s="90"/>
    </row>
    <row r="514" spans="4:15">
      <c r="D514" s="90"/>
      <c r="E514" s="90"/>
      <c r="F514" s="90"/>
      <c r="G514" s="90"/>
      <c r="H514" s="90"/>
      <c r="I514" s="90"/>
      <c r="J514" s="90"/>
      <c r="K514" s="90"/>
      <c r="L514" s="90"/>
      <c r="M514" s="90"/>
      <c r="N514" s="90"/>
      <c r="O514" s="90"/>
    </row>
    <row r="515" spans="4:15">
      <c r="D515" s="90"/>
      <c r="E515" s="90"/>
      <c r="F515" s="90"/>
      <c r="G515" s="90"/>
      <c r="H515" s="90"/>
      <c r="I515" s="90"/>
      <c r="J515" s="90"/>
      <c r="K515" s="90"/>
      <c r="L515" s="90"/>
      <c r="M515" s="90"/>
      <c r="N515" s="90"/>
      <c r="O515" s="90"/>
    </row>
    <row r="516" spans="4:15">
      <c r="D516" s="90"/>
      <c r="E516" s="90"/>
      <c r="F516" s="90"/>
      <c r="G516" s="90"/>
      <c r="H516" s="90"/>
      <c r="I516" s="90"/>
      <c r="J516" s="90"/>
      <c r="K516" s="90"/>
      <c r="L516" s="90"/>
      <c r="M516" s="90"/>
      <c r="N516" s="90"/>
      <c r="O516" s="90"/>
    </row>
    <row r="517" spans="4:15">
      <c r="D517" s="90"/>
      <c r="E517" s="90"/>
      <c r="F517" s="90"/>
      <c r="G517" s="90"/>
      <c r="H517" s="90"/>
      <c r="I517" s="90"/>
      <c r="J517" s="90"/>
      <c r="K517" s="90"/>
      <c r="L517" s="90"/>
      <c r="M517" s="90"/>
      <c r="N517" s="90"/>
      <c r="O517" s="90"/>
    </row>
    <row r="518" spans="4:15">
      <c r="D518" s="90"/>
      <c r="E518" s="90"/>
      <c r="F518" s="90"/>
      <c r="G518" s="90"/>
      <c r="H518" s="90"/>
      <c r="I518" s="90"/>
      <c r="J518" s="90"/>
      <c r="K518" s="90"/>
      <c r="L518" s="90"/>
      <c r="M518" s="90"/>
      <c r="N518" s="90"/>
      <c r="O518" s="90"/>
    </row>
    <row r="519" spans="4:15">
      <c r="D519" s="90"/>
      <c r="E519" s="90"/>
      <c r="F519" s="90"/>
      <c r="G519" s="90"/>
      <c r="H519" s="90"/>
      <c r="I519" s="90"/>
      <c r="J519" s="90"/>
      <c r="K519" s="90"/>
      <c r="L519" s="90"/>
      <c r="M519" s="90"/>
      <c r="N519" s="90"/>
      <c r="O519" s="90"/>
    </row>
    <row r="520" spans="4:15">
      <c r="D520" s="90"/>
      <c r="E520" s="90"/>
      <c r="F520" s="90"/>
      <c r="G520" s="90"/>
      <c r="H520" s="90"/>
      <c r="I520" s="90"/>
      <c r="J520" s="90"/>
      <c r="K520" s="90"/>
      <c r="L520" s="90"/>
      <c r="M520" s="90"/>
      <c r="N520" s="90"/>
      <c r="O520" s="90"/>
    </row>
    <row r="521" spans="4:15">
      <c r="D521" s="90"/>
      <c r="E521" s="90"/>
      <c r="F521" s="90"/>
      <c r="G521" s="90"/>
      <c r="H521" s="90"/>
      <c r="I521" s="90"/>
      <c r="J521" s="90"/>
      <c r="K521" s="90"/>
      <c r="L521" s="90"/>
      <c r="M521" s="90"/>
      <c r="N521" s="90"/>
      <c r="O521" s="90"/>
    </row>
    <row r="522" spans="4:15">
      <c r="D522" s="90"/>
      <c r="E522" s="90"/>
      <c r="F522" s="90"/>
      <c r="G522" s="90"/>
      <c r="H522" s="90"/>
      <c r="I522" s="90"/>
      <c r="J522" s="90"/>
      <c r="K522" s="90"/>
      <c r="L522" s="90"/>
      <c r="M522" s="90"/>
      <c r="N522" s="90"/>
      <c r="O522" s="90"/>
    </row>
    <row r="523" spans="4:15">
      <c r="D523" s="90"/>
      <c r="E523" s="90"/>
      <c r="F523" s="90"/>
      <c r="G523" s="90"/>
      <c r="H523" s="90"/>
      <c r="I523" s="90"/>
      <c r="J523" s="90"/>
      <c r="K523" s="90"/>
      <c r="L523" s="90"/>
      <c r="M523" s="90"/>
      <c r="N523" s="90"/>
      <c r="O523" s="90"/>
    </row>
    <row r="524" spans="4:15">
      <c r="D524" s="90"/>
      <c r="E524" s="90"/>
      <c r="F524" s="90"/>
      <c r="G524" s="90"/>
      <c r="H524" s="90"/>
      <c r="I524" s="90"/>
      <c r="J524" s="90"/>
      <c r="K524" s="90"/>
      <c r="L524" s="90"/>
      <c r="M524" s="90"/>
      <c r="N524" s="90"/>
      <c r="O524" s="90"/>
    </row>
    <row r="525" spans="4:15">
      <c r="D525" s="90"/>
      <c r="E525" s="90"/>
      <c r="F525" s="90"/>
      <c r="G525" s="90"/>
      <c r="H525" s="90"/>
      <c r="I525" s="90"/>
      <c r="J525" s="90"/>
      <c r="K525" s="90"/>
      <c r="L525" s="90"/>
      <c r="M525" s="90"/>
      <c r="N525" s="90"/>
      <c r="O525" s="90"/>
    </row>
    <row r="526" spans="4:15">
      <c r="D526" s="90"/>
      <c r="E526" s="90"/>
      <c r="F526" s="90"/>
      <c r="G526" s="90"/>
      <c r="H526" s="90"/>
      <c r="I526" s="90"/>
      <c r="J526" s="90"/>
      <c r="K526" s="90"/>
      <c r="L526" s="90"/>
      <c r="M526" s="90"/>
      <c r="N526" s="90"/>
      <c r="O526" s="90"/>
    </row>
    <row r="527" spans="4:15">
      <c r="D527" s="90"/>
      <c r="E527" s="90"/>
      <c r="F527" s="90"/>
      <c r="G527" s="90"/>
      <c r="H527" s="90"/>
      <c r="I527" s="90"/>
      <c r="J527" s="90"/>
      <c r="K527" s="90"/>
      <c r="L527" s="90"/>
      <c r="M527" s="90"/>
      <c r="N527" s="90"/>
      <c r="O527" s="90"/>
    </row>
    <row r="528" spans="4:15">
      <c r="D528" s="90"/>
      <c r="E528" s="90"/>
      <c r="F528" s="90"/>
      <c r="G528" s="90"/>
      <c r="H528" s="90"/>
      <c r="I528" s="90"/>
      <c r="J528" s="90"/>
      <c r="K528" s="90"/>
      <c r="L528" s="90"/>
      <c r="M528" s="90"/>
      <c r="N528" s="90"/>
      <c r="O528" s="90"/>
    </row>
    <row r="529" spans="4:15">
      <c r="D529" s="90"/>
      <c r="E529" s="90"/>
      <c r="F529" s="90"/>
      <c r="G529" s="90"/>
      <c r="H529" s="90"/>
      <c r="I529" s="90"/>
      <c r="J529" s="90"/>
      <c r="K529" s="90"/>
      <c r="L529" s="90"/>
      <c r="M529" s="90"/>
      <c r="N529" s="90"/>
      <c r="O529" s="90"/>
    </row>
    <row r="530" spans="4:15">
      <c r="D530" s="90"/>
      <c r="E530" s="90"/>
      <c r="F530" s="90"/>
      <c r="G530" s="90"/>
      <c r="H530" s="90"/>
      <c r="I530" s="90"/>
      <c r="J530" s="90"/>
      <c r="K530" s="90"/>
      <c r="L530" s="90"/>
      <c r="M530" s="90"/>
      <c r="N530" s="90"/>
      <c r="O530" s="90"/>
    </row>
    <row r="531" spans="4:15">
      <c r="D531" s="90"/>
      <c r="E531" s="90"/>
      <c r="F531" s="90"/>
      <c r="G531" s="90"/>
      <c r="H531" s="90"/>
      <c r="I531" s="90"/>
      <c r="J531" s="90"/>
      <c r="K531" s="90"/>
      <c r="L531" s="90"/>
      <c r="M531" s="90"/>
      <c r="N531" s="90"/>
      <c r="O531" s="90"/>
    </row>
    <row r="532" spans="4:15">
      <c r="D532" s="90"/>
      <c r="E532" s="90"/>
      <c r="F532" s="90"/>
      <c r="G532" s="90"/>
      <c r="H532" s="90"/>
      <c r="I532" s="90"/>
      <c r="J532" s="90"/>
      <c r="K532" s="90"/>
      <c r="L532" s="90"/>
      <c r="M532" s="90"/>
      <c r="N532" s="90"/>
      <c r="O532" s="90"/>
    </row>
    <row r="533" spans="4:15">
      <c r="D533" s="90"/>
      <c r="E533" s="90"/>
      <c r="F533" s="90"/>
      <c r="G533" s="90"/>
      <c r="H533" s="90"/>
      <c r="I533" s="90"/>
      <c r="J533" s="90"/>
      <c r="K533" s="90"/>
      <c r="L533" s="90"/>
      <c r="M533" s="90"/>
      <c r="N533" s="90"/>
      <c r="O533" s="90"/>
    </row>
    <row r="534" spans="4:15">
      <c r="D534" s="90"/>
      <c r="E534" s="90"/>
      <c r="F534" s="90"/>
      <c r="G534" s="90"/>
      <c r="H534" s="90"/>
      <c r="I534" s="90"/>
      <c r="J534" s="90"/>
      <c r="K534" s="90"/>
      <c r="L534" s="90"/>
      <c r="M534" s="90"/>
      <c r="N534" s="90"/>
      <c r="O534" s="90"/>
    </row>
    <row r="535" spans="4:15">
      <c r="D535" s="90"/>
      <c r="E535" s="90"/>
      <c r="F535" s="90"/>
      <c r="G535" s="90"/>
      <c r="H535" s="90"/>
      <c r="I535" s="90"/>
      <c r="J535" s="90"/>
      <c r="K535" s="90"/>
      <c r="L535" s="90"/>
      <c r="M535" s="90"/>
      <c r="N535" s="90"/>
      <c r="O535" s="90"/>
    </row>
    <row r="536" spans="4:15">
      <c r="D536" s="90"/>
      <c r="E536" s="90"/>
      <c r="F536" s="90"/>
      <c r="G536" s="90"/>
      <c r="H536" s="90"/>
      <c r="I536" s="90"/>
      <c r="J536" s="90"/>
      <c r="K536" s="90"/>
      <c r="L536" s="90"/>
      <c r="M536" s="90"/>
      <c r="N536" s="90"/>
      <c r="O536" s="90"/>
    </row>
    <row r="537" spans="4:15">
      <c r="D537" s="90"/>
      <c r="E537" s="90"/>
      <c r="F537" s="90"/>
      <c r="G537" s="90"/>
      <c r="H537" s="90"/>
      <c r="I537" s="90"/>
      <c r="J537" s="90"/>
      <c r="K537" s="90"/>
      <c r="L537" s="90"/>
      <c r="M537" s="90"/>
      <c r="N537" s="90"/>
      <c r="O537" s="90"/>
    </row>
    <row r="538" spans="4:15">
      <c r="D538" s="90"/>
      <c r="E538" s="90"/>
      <c r="F538" s="90"/>
      <c r="G538" s="90"/>
      <c r="H538" s="90"/>
      <c r="I538" s="90"/>
      <c r="J538" s="90"/>
      <c r="K538" s="90"/>
      <c r="L538" s="90"/>
      <c r="M538" s="90"/>
      <c r="N538" s="90"/>
      <c r="O538" s="90"/>
    </row>
    <row r="539" spans="4:15">
      <c r="D539" s="90"/>
      <c r="E539" s="90"/>
      <c r="F539" s="90"/>
      <c r="G539" s="90"/>
      <c r="H539" s="90"/>
      <c r="I539" s="90"/>
      <c r="J539" s="90"/>
      <c r="K539" s="90"/>
      <c r="L539" s="90"/>
      <c r="M539" s="90"/>
      <c r="N539" s="90"/>
      <c r="O539" s="90"/>
    </row>
    <row r="540" spans="4:15">
      <c r="D540" s="90"/>
      <c r="E540" s="90"/>
      <c r="F540" s="90"/>
      <c r="G540" s="90"/>
      <c r="H540" s="90"/>
      <c r="I540" s="90"/>
      <c r="J540" s="90"/>
      <c r="K540" s="90"/>
      <c r="L540" s="90"/>
      <c r="M540" s="90"/>
      <c r="N540" s="90"/>
      <c r="O540" s="90"/>
    </row>
    <row r="541" spans="4:15">
      <c r="D541" s="90"/>
      <c r="E541" s="90"/>
      <c r="F541" s="90"/>
      <c r="G541" s="90"/>
      <c r="H541" s="90"/>
      <c r="I541" s="90"/>
      <c r="J541" s="90"/>
      <c r="K541" s="90"/>
      <c r="L541" s="90"/>
      <c r="M541" s="90"/>
      <c r="N541" s="90"/>
      <c r="O541" s="90"/>
    </row>
    <row r="542" spans="4:15">
      <c r="D542" s="90"/>
      <c r="E542" s="90"/>
      <c r="F542" s="90"/>
      <c r="G542" s="90"/>
      <c r="H542" s="90"/>
      <c r="I542" s="90"/>
      <c r="J542" s="90"/>
      <c r="K542" s="90"/>
      <c r="L542" s="90"/>
      <c r="M542" s="90"/>
      <c r="N542" s="90"/>
      <c r="O542" s="90"/>
    </row>
    <row r="543" spans="4:15">
      <c r="D543" s="90"/>
      <c r="E543" s="90"/>
      <c r="F543" s="90"/>
      <c r="G543" s="90"/>
      <c r="H543" s="90"/>
      <c r="I543" s="90"/>
      <c r="J543" s="90"/>
      <c r="K543" s="90"/>
      <c r="L543" s="90"/>
      <c r="M543" s="90"/>
      <c r="N543" s="90"/>
      <c r="O543" s="90"/>
    </row>
    <row r="544" spans="4:15"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</row>
    <row r="545" spans="4:15">
      <c r="D545" s="90"/>
      <c r="E545" s="90"/>
      <c r="F545" s="90"/>
      <c r="G545" s="90"/>
      <c r="H545" s="90"/>
      <c r="I545" s="90"/>
      <c r="J545" s="90"/>
      <c r="K545" s="90"/>
      <c r="L545" s="90"/>
      <c r="M545" s="90"/>
      <c r="N545" s="90"/>
      <c r="O545" s="90"/>
    </row>
    <row r="546" spans="4:15">
      <c r="D546" s="90"/>
      <c r="E546" s="90"/>
      <c r="F546" s="90"/>
      <c r="G546" s="90"/>
      <c r="H546" s="90"/>
      <c r="I546" s="90"/>
      <c r="J546" s="90"/>
      <c r="K546" s="90"/>
      <c r="L546" s="90"/>
      <c r="M546" s="90"/>
      <c r="N546" s="90"/>
      <c r="O546" s="90"/>
    </row>
    <row r="547" spans="4:15">
      <c r="D547" s="90"/>
      <c r="E547" s="90"/>
      <c r="F547" s="90"/>
      <c r="G547" s="90"/>
      <c r="H547" s="90"/>
      <c r="I547" s="90"/>
      <c r="J547" s="90"/>
      <c r="K547" s="90"/>
      <c r="L547" s="90"/>
      <c r="M547" s="90"/>
      <c r="N547" s="90"/>
      <c r="O547" s="90"/>
    </row>
    <row r="548" spans="4:15">
      <c r="D548" s="90"/>
      <c r="E548" s="90"/>
      <c r="F548" s="90"/>
      <c r="G548" s="90"/>
      <c r="H548" s="90"/>
      <c r="I548" s="90"/>
      <c r="J548" s="90"/>
      <c r="K548" s="90"/>
      <c r="L548" s="90"/>
      <c r="M548" s="90"/>
      <c r="N548" s="90"/>
      <c r="O548" s="90"/>
    </row>
    <row r="549" spans="4:15">
      <c r="D549" s="90"/>
      <c r="E549" s="90"/>
      <c r="F549" s="90"/>
      <c r="G549" s="90"/>
      <c r="H549" s="90"/>
      <c r="I549" s="90"/>
      <c r="J549" s="90"/>
      <c r="K549" s="90"/>
      <c r="L549" s="90"/>
      <c r="M549" s="90"/>
      <c r="N549" s="90"/>
      <c r="O549" s="90"/>
    </row>
    <row r="550" spans="4:15">
      <c r="D550" s="90"/>
      <c r="E550" s="90"/>
      <c r="F550" s="90"/>
      <c r="G550" s="90"/>
      <c r="H550" s="90"/>
      <c r="I550" s="90"/>
      <c r="J550" s="90"/>
      <c r="K550" s="90"/>
      <c r="L550" s="90"/>
      <c r="M550" s="90"/>
      <c r="N550" s="90"/>
      <c r="O550" s="90"/>
    </row>
    <row r="551" spans="4:15">
      <c r="D551" s="90"/>
      <c r="E551" s="90"/>
      <c r="F551" s="90"/>
      <c r="G551" s="90"/>
      <c r="H551" s="90"/>
      <c r="I551" s="90"/>
      <c r="J551" s="90"/>
      <c r="K551" s="90"/>
      <c r="L551" s="90"/>
      <c r="M551" s="90"/>
      <c r="N551" s="90"/>
      <c r="O551" s="90"/>
    </row>
    <row r="552" spans="4:15">
      <c r="D552" s="90"/>
      <c r="E552" s="90"/>
      <c r="F552" s="90"/>
      <c r="G552" s="90"/>
      <c r="H552" s="90"/>
      <c r="I552" s="90"/>
      <c r="J552" s="90"/>
      <c r="K552" s="90"/>
      <c r="L552" s="90"/>
      <c r="M552" s="90"/>
      <c r="N552" s="90"/>
      <c r="O552" s="90"/>
    </row>
    <row r="553" spans="4:15">
      <c r="D553" s="90"/>
      <c r="E553" s="90"/>
      <c r="F553" s="90"/>
      <c r="G553" s="90"/>
      <c r="H553" s="90"/>
      <c r="I553" s="90"/>
      <c r="J553" s="90"/>
      <c r="K553" s="90"/>
      <c r="L553" s="90"/>
      <c r="M553" s="90"/>
      <c r="N553" s="90"/>
      <c r="O553" s="90"/>
    </row>
    <row r="554" spans="4:15">
      <c r="D554" s="90"/>
      <c r="E554" s="90"/>
      <c r="F554" s="90"/>
      <c r="G554" s="90"/>
      <c r="H554" s="90"/>
      <c r="I554" s="90"/>
      <c r="J554" s="90"/>
      <c r="K554" s="90"/>
      <c r="L554" s="90"/>
      <c r="M554" s="90"/>
      <c r="N554" s="90"/>
      <c r="O554" s="90"/>
    </row>
    <row r="555" spans="4:15">
      <c r="D555" s="90"/>
      <c r="E555" s="90"/>
      <c r="F555" s="90"/>
      <c r="G555" s="90"/>
      <c r="H555" s="90"/>
      <c r="I555" s="90"/>
      <c r="J555" s="90"/>
      <c r="K555" s="90"/>
      <c r="L555" s="90"/>
      <c r="M555" s="90"/>
      <c r="N555" s="90"/>
      <c r="O555" s="90"/>
    </row>
    <row r="556" spans="4:15">
      <c r="D556" s="90"/>
      <c r="E556" s="90"/>
      <c r="F556" s="90"/>
      <c r="G556" s="90"/>
      <c r="H556" s="90"/>
      <c r="I556" s="90"/>
      <c r="J556" s="90"/>
      <c r="K556" s="90"/>
      <c r="L556" s="90"/>
      <c r="M556" s="90"/>
      <c r="N556" s="90"/>
      <c r="O556" s="90"/>
    </row>
    <row r="557" spans="4:15">
      <c r="D557" s="90"/>
      <c r="E557" s="90"/>
      <c r="F557" s="90"/>
      <c r="G557" s="90"/>
      <c r="H557" s="90"/>
      <c r="I557" s="90"/>
      <c r="J557" s="90"/>
      <c r="K557" s="90"/>
      <c r="L557" s="90"/>
      <c r="M557" s="90"/>
      <c r="N557" s="90"/>
      <c r="O557" s="90"/>
    </row>
    <row r="558" spans="4:15">
      <c r="D558" s="90"/>
      <c r="E558" s="90"/>
      <c r="F558" s="90"/>
      <c r="G558" s="90"/>
      <c r="H558" s="90"/>
      <c r="I558" s="90"/>
      <c r="J558" s="90"/>
      <c r="K558" s="90"/>
      <c r="L558" s="90"/>
      <c r="M558" s="90"/>
      <c r="N558" s="90"/>
      <c r="O558" s="90"/>
    </row>
    <row r="559" spans="4:15">
      <c r="D559" s="90"/>
      <c r="E559" s="90"/>
      <c r="F559" s="90"/>
      <c r="G559" s="90"/>
      <c r="H559" s="90"/>
      <c r="I559" s="90"/>
      <c r="J559" s="90"/>
      <c r="K559" s="90"/>
      <c r="L559" s="90"/>
      <c r="M559" s="90"/>
      <c r="N559" s="90"/>
      <c r="O559" s="90"/>
    </row>
    <row r="560" spans="4:15">
      <c r="D560" s="90"/>
      <c r="E560" s="90"/>
      <c r="F560" s="90"/>
      <c r="G560" s="90"/>
      <c r="H560" s="90"/>
      <c r="I560" s="90"/>
      <c r="J560" s="90"/>
      <c r="K560" s="90"/>
      <c r="L560" s="90"/>
      <c r="M560" s="90"/>
      <c r="N560" s="90"/>
      <c r="O560" s="90"/>
    </row>
    <row r="561" spans="4:15">
      <c r="D561" s="90"/>
      <c r="E561" s="90"/>
      <c r="F561" s="90"/>
      <c r="G561" s="90"/>
      <c r="H561" s="90"/>
      <c r="I561" s="90"/>
      <c r="J561" s="90"/>
      <c r="K561" s="90"/>
      <c r="L561" s="90"/>
      <c r="M561" s="90"/>
      <c r="N561" s="90"/>
      <c r="O561" s="90"/>
    </row>
    <row r="562" spans="4:15">
      <c r="D562" s="90"/>
      <c r="E562" s="90"/>
      <c r="F562" s="90"/>
      <c r="G562" s="90"/>
      <c r="H562" s="90"/>
      <c r="I562" s="90"/>
      <c r="J562" s="90"/>
      <c r="K562" s="90"/>
      <c r="L562" s="90"/>
      <c r="M562" s="90"/>
      <c r="N562" s="90"/>
      <c r="O562" s="90"/>
    </row>
    <row r="563" spans="4:15">
      <c r="D563" s="90"/>
      <c r="E563" s="90"/>
      <c r="F563" s="90"/>
      <c r="G563" s="90"/>
      <c r="H563" s="90"/>
      <c r="I563" s="90"/>
      <c r="J563" s="90"/>
      <c r="K563" s="90"/>
      <c r="L563" s="90"/>
      <c r="M563" s="90"/>
      <c r="N563" s="90"/>
      <c r="O563" s="90"/>
    </row>
    <row r="564" spans="4:15">
      <c r="D564" s="90"/>
      <c r="E564" s="90"/>
      <c r="F564" s="90"/>
      <c r="G564" s="90"/>
      <c r="H564" s="90"/>
      <c r="I564" s="90"/>
      <c r="J564" s="90"/>
      <c r="K564" s="90"/>
      <c r="L564" s="90"/>
      <c r="M564" s="90"/>
      <c r="N564" s="90"/>
      <c r="O564" s="90"/>
    </row>
    <row r="565" spans="4:15">
      <c r="D565" s="90"/>
      <c r="E565" s="90"/>
      <c r="F565" s="90"/>
      <c r="G565" s="90"/>
      <c r="H565" s="90"/>
      <c r="I565" s="90"/>
      <c r="J565" s="90"/>
      <c r="K565" s="90"/>
      <c r="L565" s="90"/>
      <c r="M565" s="90"/>
      <c r="N565" s="90"/>
      <c r="O565" s="90"/>
    </row>
    <row r="566" spans="4:15">
      <c r="D566" s="90"/>
      <c r="E566" s="90"/>
      <c r="F566" s="90"/>
      <c r="G566" s="90"/>
      <c r="H566" s="90"/>
      <c r="I566" s="90"/>
      <c r="J566" s="90"/>
      <c r="K566" s="90"/>
      <c r="L566" s="90"/>
      <c r="M566" s="90"/>
      <c r="N566" s="90"/>
      <c r="O566" s="90"/>
    </row>
    <row r="567" spans="4:15">
      <c r="D567" s="90"/>
      <c r="E567" s="90"/>
      <c r="F567" s="90"/>
      <c r="G567" s="90"/>
      <c r="H567" s="90"/>
      <c r="I567" s="90"/>
      <c r="J567" s="90"/>
      <c r="K567" s="90"/>
      <c r="L567" s="90"/>
      <c r="M567" s="90"/>
      <c r="N567" s="90"/>
      <c r="O567" s="90"/>
    </row>
    <row r="568" spans="4:15">
      <c r="D568" s="90"/>
      <c r="E568" s="90"/>
      <c r="F568" s="90"/>
      <c r="G568" s="90"/>
      <c r="H568" s="90"/>
      <c r="I568" s="90"/>
      <c r="J568" s="90"/>
      <c r="K568" s="90"/>
      <c r="L568" s="90"/>
      <c r="M568" s="90"/>
      <c r="N568" s="90"/>
      <c r="O568" s="90"/>
    </row>
    <row r="569" spans="4:15">
      <c r="D569" s="90"/>
      <c r="E569" s="90"/>
      <c r="F569" s="90"/>
      <c r="G569" s="90"/>
      <c r="H569" s="90"/>
      <c r="I569" s="90"/>
      <c r="J569" s="90"/>
      <c r="K569" s="90"/>
      <c r="L569" s="90"/>
      <c r="M569" s="90"/>
      <c r="N569" s="90"/>
      <c r="O569" s="90"/>
    </row>
    <row r="570" spans="4:15">
      <c r="D570" s="90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</row>
    <row r="571" spans="4:15">
      <c r="D571" s="90"/>
      <c r="E571" s="90"/>
      <c r="F571" s="90"/>
      <c r="G571" s="90"/>
      <c r="H571" s="90"/>
      <c r="I571" s="90"/>
      <c r="J571" s="90"/>
      <c r="K571" s="90"/>
      <c r="L571" s="90"/>
      <c r="M571" s="90"/>
      <c r="N571" s="90"/>
      <c r="O571" s="90"/>
    </row>
    <row r="572" spans="4:15">
      <c r="D572" s="90"/>
      <c r="E572" s="90"/>
      <c r="F572" s="90"/>
      <c r="G572" s="90"/>
      <c r="H572" s="90"/>
      <c r="I572" s="90"/>
      <c r="J572" s="90"/>
      <c r="K572" s="90"/>
      <c r="L572" s="90"/>
      <c r="M572" s="90"/>
      <c r="N572" s="90"/>
      <c r="O572" s="90"/>
    </row>
    <row r="573" spans="4:15">
      <c r="D573" s="90"/>
      <c r="E573" s="90"/>
      <c r="F573" s="90"/>
      <c r="G573" s="90"/>
      <c r="H573" s="90"/>
      <c r="I573" s="90"/>
      <c r="J573" s="90"/>
      <c r="K573" s="90"/>
      <c r="L573" s="90"/>
      <c r="M573" s="90"/>
      <c r="N573" s="90"/>
      <c r="O573" s="90"/>
    </row>
    <row r="574" spans="4:15">
      <c r="D574" s="90"/>
      <c r="E574" s="90"/>
      <c r="F574" s="90"/>
      <c r="G574" s="90"/>
      <c r="H574" s="90"/>
      <c r="I574" s="90"/>
      <c r="J574" s="90"/>
      <c r="K574" s="90"/>
      <c r="L574" s="90"/>
      <c r="M574" s="90"/>
      <c r="N574" s="90"/>
      <c r="O574" s="90"/>
    </row>
    <row r="575" spans="4:15">
      <c r="D575" s="90"/>
      <c r="E575" s="90"/>
      <c r="F575" s="90"/>
      <c r="G575" s="90"/>
      <c r="H575" s="90"/>
      <c r="I575" s="90"/>
      <c r="J575" s="90"/>
      <c r="K575" s="90"/>
      <c r="L575" s="90"/>
      <c r="M575" s="90"/>
      <c r="N575" s="90"/>
      <c r="O575" s="90"/>
    </row>
    <row r="576" spans="4:15">
      <c r="D576" s="90"/>
      <c r="E576" s="90"/>
      <c r="F576" s="90"/>
      <c r="G576" s="90"/>
      <c r="H576" s="90"/>
      <c r="I576" s="90"/>
      <c r="J576" s="90"/>
      <c r="K576" s="90"/>
      <c r="L576" s="90"/>
      <c r="M576" s="90"/>
      <c r="N576" s="90"/>
      <c r="O576" s="90"/>
    </row>
    <row r="577" spans="4:15">
      <c r="D577" s="90"/>
      <c r="E577" s="90"/>
      <c r="F577" s="90"/>
      <c r="G577" s="90"/>
      <c r="H577" s="90"/>
      <c r="I577" s="90"/>
      <c r="J577" s="90"/>
      <c r="K577" s="90"/>
      <c r="L577" s="90"/>
      <c r="M577" s="90"/>
      <c r="N577" s="90"/>
      <c r="O577" s="90"/>
    </row>
    <row r="578" spans="4:15">
      <c r="D578" s="90"/>
      <c r="E578" s="90"/>
      <c r="F578" s="90"/>
      <c r="G578" s="90"/>
      <c r="H578" s="90"/>
      <c r="I578" s="90"/>
      <c r="J578" s="90"/>
      <c r="K578" s="90"/>
      <c r="L578" s="90"/>
      <c r="M578" s="90"/>
      <c r="N578" s="90"/>
      <c r="O578" s="90"/>
    </row>
    <row r="579" spans="4:15">
      <c r="D579" s="90"/>
      <c r="E579" s="90"/>
      <c r="F579" s="90"/>
      <c r="G579" s="90"/>
      <c r="H579" s="90"/>
      <c r="I579" s="90"/>
      <c r="J579" s="90"/>
      <c r="K579" s="90"/>
      <c r="L579" s="90"/>
      <c r="M579" s="90"/>
      <c r="N579" s="90"/>
      <c r="O579" s="90"/>
    </row>
    <row r="580" spans="4:15">
      <c r="D580" s="90"/>
      <c r="E580" s="90"/>
      <c r="F580" s="90"/>
      <c r="G580" s="90"/>
      <c r="H580" s="90"/>
      <c r="I580" s="90"/>
      <c r="J580" s="90"/>
      <c r="K580" s="90"/>
      <c r="L580" s="90"/>
      <c r="M580" s="90"/>
      <c r="N580" s="90"/>
      <c r="O580" s="90"/>
    </row>
    <row r="581" spans="4:15">
      <c r="D581" s="90"/>
      <c r="E581" s="90"/>
      <c r="F581" s="90"/>
      <c r="G581" s="90"/>
      <c r="H581" s="90"/>
      <c r="I581" s="90"/>
      <c r="J581" s="90"/>
      <c r="K581" s="90"/>
      <c r="L581" s="90"/>
      <c r="M581" s="90"/>
      <c r="N581" s="90"/>
      <c r="O581" s="90"/>
    </row>
    <row r="582" spans="4:15">
      <c r="D582" s="90"/>
      <c r="E582" s="90"/>
      <c r="F582" s="90"/>
      <c r="G582" s="90"/>
      <c r="H582" s="90"/>
      <c r="I582" s="90"/>
      <c r="J582" s="90"/>
      <c r="K582" s="90"/>
      <c r="L582" s="90"/>
      <c r="M582" s="90"/>
      <c r="N582" s="90"/>
      <c r="O582" s="90"/>
    </row>
    <row r="583" spans="4:15">
      <c r="D583" s="90"/>
      <c r="E583" s="90"/>
      <c r="F583" s="90"/>
      <c r="G583" s="90"/>
      <c r="H583" s="90"/>
      <c r="I583" s="90"/>
      <c r="J583" s="90"/>
      <c r="K583" s="90"/>
      <c r="L583" s="90"/>
      <c r="M583" s="90"/>
      <c r="N583" s="90"/>
      <c r="O583" s="90"/>
    </row>
    <row r="584" spans="4:15">
      <c r="D584" s="90"/>
      <c r="E584" s="90"/>
      <c r="F584" s="90"/>
      <c r="G584" s="90"/>
      <c r="H584" s="90"/>
      <c r="I584" s="90"/>
      <c r="J584" s="90"/>
      <c r="K584" s="90"/>
      <c r="L584" s="90"/>
      <c r="M584" s="90"/>
      <c r="N584" s="90"/>
      <c r="O584" s="90"/>
    </row>
    <row r="585" spans="4:15">
      <c r="D585" s="90"/>
      <c r="E585" s="90"/>
      <c r="F585" s="90"/>
      <c r="G585" s="90"/>
      <c r="H585" s="90"/>
      <c r="I585" s="90"/>
      <c r="J585" s="90"/>
      <c r="K585" s="90"/>
      <c r="L585" s="90"/>
      <c r="M585" s="90"/>
      <c r="N585" s="90"/>
      <c r="O585" s="90"/>
    </row>
    <row r="586" spans="4:15">
      <c r="D586" s="90"/>
      <c r="E586" s="90"/>
      <c r="F586" s="90"/>
      <c r="G586" s="90"/>
      <c r="H586" s="90"/>
      <c r="I586" s="90"/>
      <c r="J586" s="90"/>
      <c r="K586" s="90"/>
      <c r="L586" s="90"/>
      <c r="M586" s="90"/>
      <c r="N586" s="90"/>
      <c r="O586" s="90"/>
    </row>
    <row r="587" spans="4:15">
      <c r="D587" s="90"/>
      <c r="E587" s="90"/>
      <c r="F587" s="90"/>
      <c r="G587" s="90"/>
      <c r="H587" s="90"/>
      <c r="I587" s="90"/>
      <c r="J587" s="90"/>
      <c r="K587" s="90"/>
      <c r="L587" s="90"/>
      <c r="M587" s="90"/>
      <c r="N587" s="90"/>
      <c r="O587" s="90"/>
    </row>
    <row r="588" spans="4:15">
      <c r="D588" s="90"/>
      <c r="E588" s="90"/>
      <c r="F588" s="90"/>
      <c r="G588" s="90"/>
      <c r="H588" s="90"/>
      <c r="I588" s="90"/>
      <c r="J588" s="90"/>
      <c r="K588" s="90"/>
      <c r="L588" s="90"/>
      <c r="M588" s="90"/>
      <c r="N588" s="90"/>
      <c r="O588" s="90"/>
    </row>
    <row r="589" spans="4:15">
      <c r="D589" s="90"/>
      <c r="E589" s="90"/>
      <c r="F589" s="90"/>
      <c r="G589" s="90"/>
      <c r="H589" s="90"/>
      <c r="I589" s="90"/>
      <c r="J589" s="90"/>
      <c r="K589" s="90"/>
      <c r="L589" s="90"/>
      <c r="M589" s="90"/>
      <c r="N589" s="90"/>
      <c r="O589" s="90"/>
    </row>
    <row r="590" spans="4:15">
      <c r="D590" s="90"/>
      <c r="E590" s="90"/>
      <c r="F590" s="90"/>
      <c r="G590" s="90"/>
      <c r="H590" s="90"/>
      <c r="I590" s="90"/>
      <c r="J590" s="90"/>
      <c r="K590" s="90"/>
      <c r="L590" s="90"/>
      <c r="M590" s="90"/>
      <c r="N590" s="90"/>
      <c r="O590" s="90"/>
    </row>
    <row r="591" spans="4:15">
      <c r="D591" s="90"/>
      <c r="E591" s="90"/>
      <c r="F591" s="90"/>
      <c r="G591" s="90"/>
      <c r="H591" s="90"/>
      <c r="I591" s="90"/>
      <c r="J591" s="90"/>
      <c r="K591" s="90"/>
      <c r="L591" s="90"/>
      <c r="M591" s="90"/>
      <c r="N591" s="90"/>
      <c r="O591" s="90"/>
    </row>
    <row r="592" spans="4:15">
      <c r="D592" s="90"/>
      <c r="E592" s="90"/>
      <c r="F592" s="90"/>
      <c r="G592" s="90"/>
      <c r="H592" s="90"/>
      <c r="I592" s="90"/>
      <c r="J592" s="90"/>
      <c r="K592" s="90"/>
      <c r="L592" s="90"/>
      <c r="M592" s="90"/>
      <c r="N592" s="90"/>
      <c r="O592" s="90"/>
    </row>
    <row r="593" spans="4:15"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</row>
    <row r="594" spans="4:15">
      <c r="D594" s="90"/>
      <c r="E594" s="90"/>
      <c r="F594" s="90"/>
      <c r="G594" s="90"/>
      <c r="H594" s="90"/>
      <c r="I594" s="90"/>
      <c r="J594" s="90"/>
      <c r="K594" s="90"/>
      <c r="L594" s="90"/>
      <c r="M594" s="90"/>
      <c r="N594" s="90"/>
      <c r="O594" s="90"/>
    </row>
    <row r="595" spans="4:15">
      <c r="D595" s="90"/>
      <c r="E595" s="90"/>
      <c r="F595" s="90"/>
      <c r="G595" s="90"/>
      <c r="H595" s="90"/>
      <c r="I595" s="90"/>
      <c r="J595" s="90"/>
      <c r="K595" s="90"/>
      <c r="L595" s="90"/>
      <c r="M595" s="90"/>
      <c r="N595" s="90"/>
      <c r="O595" s="90"/>
    </row>
    <row r="596" spans="4:15">
      <c r="D596" s="90"/>
      <c r="E596" s="90"/>
      <c r="F596" s="90"/>
      <c r="G596" s="90"/>
      <c r="H596" s="90"/>
      <c r="I596" s="90"/>
      <c r="J596" s="90"/>
      <c r="K596" s="90"/>
      <c r="L596" s="90"/>
      <c r="M596" s="90"/>
      <c r="N596" s="90"/>
      <c r="O596" s="90"/>
    </row>
    <row r="597" spans="4:15">
      <c r="D597" s="90"/>
      <c r="E597" s="90"/>
      <c r="F597" s="90"/>
      <c r="G597" s="90"/>
      <c r="H597" s="90"/>
      <c r="I597" s="90"/>
      <c r="J597" s="90"/>
      <c r="K597" s="90"/>
      <c r="L597" s="90"/>
      <c r="M597" s="90"/>
      <c r="N597" s="90"/>
      <c r="O597" s="90"/>
    </row>
    <row r="598" spans="4:15">
      <c r="D598" s="90"/>
      <c r="E598" s="90"/>
      <c r="F598" s="90"/>
      <c r="G598" s="90"/>
      <c r="H598" s="90"/>
      <c r="I598" s="90"/>
      <c r="J598" s="90"/>
      <c r="K598" s="90"/>
      <c r="L598" s="90"/>
      <c r="M598" s="90"/>
      <c r="N598" s="90"/>
      <c r="O598" s="90"/>
    </row>
    <row r="599" spans="4:15">
      <c r="D599" s="90"/>
      <c r="E599" s="90"/>
      <c r="F599" s="90"/>
      <c r="G599" s="90"/>
      <c r="H599" s="90"/>
      <c r="I599" s="90"/>
      <c r="J599" s="90"/>
      <c r="K599" s="90"/>
      <c r="L599" s="90"/>
      <c r="M599" s="90"/>
      <c r="N599" s="90"/>
      <c r="O599" s="90"/>
    </row>
    <row r="600" spans="4:15">
      <c r="D600" s="90"/>
      <c r="E600" s="90"/>
      <c r="F600" s="90"/>
      <c r="G600" s="90"/>
      <c r="H600" s="90"/>
      <c r="I600" s="90"/>
      <c r="J600" s="90"/>
      <c r="K600" s="90"/>
      <c r="L600" s="90"/>
      <c r="M600" s="90"/>
      <c r="N600" s="90"/>
      <c r="O600" s="90"/>
    </row>
    <row r="601" spans="4:15">
      <c r="D601" s="90"/>
      <c r="E601" s="90"/>
      <c r="F601" s="90"/>
      <c r="G601" s="90"/>
      <c r="H601" s="90"/>
      <c r="I601" s="90"/>
      <c r="J601" s="90"/>
      <c r="K601" s="90"/>
      <c r="L601" s="90"/>
      <c r="M601" s="90"/>
      <c r="N601" s="90"/>
      <c r="O601" s="90"/>
    </row>
    <row r="602" spans="4:15">
      <c r="D602" s="90"/>
      <c r="E602" s="90"/>
      <c r="F602" s="90"/>
      <c r="G602" s="90"/>
      <c r="H602" s="90"/>
      <c r="I602" s="90"/>
      <c r="J602" s="90"/>
      <c r="K602" s="90"/>
      <c r="L602" s="90"/>
      <c r="M602" s="90"/>
      <c r="N602" s="90"/>
      <c r="O602" s="90"/>
    </row>
    <row r="603" spans="4:15">
      <c r="D603" s="90"/>
      <c r="E603" s="90"/>
      <c r="F603" s="90"/>
      <c r="G603" s="90"/>
      <c r="H603" s="90"/>
      <c r="I603" s="90"/>
      <c r="J603" s="90"/>
      <c r="K603" s="90"/>
      <c r="L603" s="90"/>
      <c r="M603" s="90"/>
      <c r="N603" s="90"/>
      <c r="O603" s="90"/>
    </row>
    <row r="604" spans="4:15">
      <c r="D604" s="90"/>
      <c r="E604" s="90"/>
      <c r="F604" s="90"/>
      <c r="G604" s="90"/>
      <c r="H604" s="90"/>
      <c r="I604" s="90"/>
      <c r="J604" s="90"/>
      <c r="K604" s="90"/>
      <c r="L604" s="90"/>
      <c r="M604" s="90"/>
      <c r="N604" s="90"/>
      <c r="O604" s="90"/>
    </row>
    <row r="605" spans="4:15">
      <c r="D605" s="90"/>
      <c r="E605" s="90"/>
      <c r="F605" s="90"/>
      <c r="G605" s="90"/>
      <c r="H605" s="90"/>
      <c r="I605" s="90"/>
      <c r="J605" s="90"/>
      <c r="K605" s="90"/>
      <c r="L605" s="90"/>
      <c r="M605" s="90"/>
      <c r="N605" s="90"/>
      <c r="O605" s="90"/>
    </row>
    <row r="606" spans="4:15">
      <c r="D606" s="90"/>
      <c r="E606" s="90"/>
      <c r="F606" s="90"/>
      <c r="G606" s="90"/>
      <c r="H606" s="90"/>
      <c r="I606" s="90"/>
      <c r="J606" s="90"/>
      <c r="K606" s="90"/>
      <c r="L606" s="90"/>
      <c r="M606" s="90"/>
      <c r="N606" s="90"/>
      <c r="O606" s="90"/>
    </row>
    <row r="607" spans="4:15">
      <c r="D607" s="90"/>
      <c r="E607" s="90"/>
      <c r="F607" s="90"/>
      <c r="G607" s="90"/>
      <c r="H607" s="90"/>
      <c r="I607" s="90"/>
      <c r="J607" s="90"/>
      <c r="K607" s="90"/>
      <c r="L607" s="90"/>
      <c r="M607" s="90"/>
      <c r="N607" s="90"/>
      <c r="O607" s="90"/>
    </row>
    <row r="608" spans="4:15">
      <c r="D608" s="90"/>
      <c r="E608" s="90"/>
      <c r="F608" s="90"/>
      <c r="G608" s="90"/>
      <c r="H608" s="90"/>
      <c r="I608" s="90"/>
      <c r="J608" s="90"/>
      <c r="K608" s="90"/>
      <c r="L608" s="90"/>
      <c r="M608" s="90"/>
      <c r="N608" s="90"/>
      <c r="O608" s="90"/>
    </row>
    <row r="609" spans="4:15">
      <c r="D609" s="90"/>
      <c r="E609" s="90"/>
      <c r="F609" s="90"/>
      <c r="G609" s="90"/>
      <c r="H609" s="90"/>
      <c r="I609" s="90"/>
      <c r="J609" s="90"/>
      <c r="K609" s="90"/>
      <c r="L609" s="90"/>
      <c r="M609" s="90"/>
      <c r="N609" s="90"/>
      <c r="O609" s="90"/>
    </row>
    <row r="610" spans="4:15">
      <c r="D610" s="90"/>
      <c r="E610" s="90"/>
      <c r="F610" s="90"/>
      <c r="G610" s="90"/>
      <c r="H610" s="90"/>
      <c r="I610" s="90"/>
      <c r="J610" s="90"/>
      <c r="K610" s="90"/>
      <c r="L610" s="90"/>
      <c r="M610" s="90"/>
      <c r="N610" s="90"/>
      <c r="O610" s="90"/>
    </row>
    <row r="611" spans="4:15">
      <c r="D611" s="90"/>
      <c r="E611" s="90"/>
      <c r="F611" s="90"/>
      <c r="G611" s="90"/>
      <c r="H611" s="90"/>
      <c r="I611" s="90"/>
      <c r="J611" s="90"/>
      <c r="K611" s="90"/>
      <c r="L611" s="90"/>
      <c r="M611" s="90"/>
      <c r="N611" s="90"/>
      <c r="O611" s="90"/>
    </row>
    <row r="612" spans="4:15">
      <c r="D612" s="90"/>
      <c r="E612" s="90"/>
      <c r="F612" s="90"/>
      <c r="G612" s="90"/>
      <c r="H612" s="90"/>
      <c r="I612" s="90"/>
      <c r="J612" s="90"/>
      <c r="K612" s="90"/>
      <c r="L612" s="90"/>
      <c r="M612" s="90"/>
      <c r="N612" s="90"/>
      <c r="O612" s="90"/>
    </row>
    <row r="613" spans="4:15">
      <c r="D613" s="90"/>
      <c r="E613" s="90"/>
      <c r="F613" s="90"/>
      <c r="G613" s="90"/>
      <c r="H613" s="90"/>
      <c r="I613" s="90"/>
      <c r="J613" s="90"/>
      <c r="K613" s="90"/>
      <c r="L613" s="90"/>
      <c r="M613" s="90"/>
      <c r="N613" s="90"/>
      <c r="O613" s="90"/>
    </row>
    <row r="614" spans="4:15">
      <c r="D614" s="90"/>
      <c r="E614" s="90"/>
      <c r="F614" s="90"/>
      <c r="G614" s="90"/>
      <c r="H614" s="90"/>
      <c r="I614" s="90"/>
      <c r="J614" s="90"/>
      <c r="K614" s="90"/>
      <c r="L614" s="90"/>
      <c r="M614" s="90"/>
      <c r="N614" s="90"/>
      <c r="O614" s="90"/>
    </row>
    <row r="615" spans="4:15">
      <c r="D615" s="90"/>
      <c r="E615" s="90"/>
      <c r="F615" s="90"/>
      <c r="G615" s="90"/>
      <c r="H615" s="90"/>
      <c r="I615" s="90"/>
      <c r="J615" s="90"/>
      <c r="K615" s="90"/>
      <c r="L615" s="90"/>
      <c r="M615" s="90"/>
      <c r="N615" s="90"/>
      <c r="O615" s="90"/>
    </row>
    <row r="616" spans="4:15">
      <c r="D616" s="90"/>
      <c r="E616" s="90"/>
      <c r="F616" s="90"/>
      <c r="G616" s="90"/>
      <c r="H616" s="90"/>
      <c r="I616" s="90"/>
      <c r="J616" s="90"/>
      <c r="K616" s="90"/>
      <c r="L616" s="90"/>
      <c r="M616" s="90"/>
      <c r="N616" s="90"/>
      <c r="O616" s="90"/>
    </row>
    <row r="617" spans="4:15">
      <c r="D617" s="90"/>
      <c r="E617" s="90"/>
      <c r="F617" s="90"/>
      <c r="G617" s="90"/>
      <c r="H617" s="90"/>
      <c r="I617" s="90"/>
      <c r="J617" s="90"/>
      <c r="K617" s="90"/>
      <c r="L617" s="90"/>
      <c r="M617" s="90"/>
      <c r="N617" s="90"/>
      <c r="O617" s="90"/>
    </row>
    <row r="618" spans="4:15">
      <c r="D618" s="90"/>
      <c r="E618" s="90"/>
      <c r="F618" s="90"/>
      <c r="G618" s="90"/>
      <c r="H618" s="90"/>
      <c r="I618" s="90"/>
      <c r="J618" s="90"/>
      <c r="K618" s="90"/>
      <c r="L618" s="90"/>
      <c r="M618" s="90"/>
      <c r="N618" s="90"/>
      <c r="O618" s="90"/>
    </row>
    <row r="619" spans="4:15">
      <c r="D619" s="90"/>
      <c r="E619" s="90"/>
      <c r="F619" s="90"/>
      <c r="G619" s="90"/>
      <c r="H619" s="90"/>
      <c r="I619" s="90"/>
      <c r="J619" s="90"/>
      <c r="K619" s="90"/>
      <c r="L619" s="90"/>
      <c r="M619" s="90"/>
      <c r="N619" s="90"/>
      <c r="O619" s="90"/>
    </row>
    <row r="620" spans="4:15">
      <c r="D620" s="90"/>
      <c r="E620" s="90"/>
      <c r="F620" s="90"/>
      <c r="G620" s="90"/>
      <c r="H620" s="90"/>
      <c r="I620" s="90"/>
      <c r="J620" s="90"/>
      <c r="K620" s="90"/>
      <c r="L620" s="90"/>
      <c r="M620" s="90"/>
      <c r="N620" s="90"/>
      <c r="O620" s="90"/>
    </row>
    <row r="621" spans="4:15">
      <c r="D621" s="90"/>
      <c r="E621" s="90"/>
      <c r="F621" s="90"/>
      <c r="G621" s="90"/>
      <c r="H621" s="90"/>
      <c r="I621" s="90"/>
      <c r="J621" s="90"/>
      <c r="K621" s="90"/>
      <c r="L621" s="90"/>
      <c r="M621" s="90"/>
      <c r="N621" s="90"/>
      <c r="O621" s="90"/>
    </row>
    <row r="622" spans="4:15">
      <c r="D622" s="90"/>
      <c r="E622" s="90"/>
      <c r="F622" s="90"/>
      <c r="G622" s="90"/>
      <c r="H622" s="90"/>
      <c r="I622" s="90"/>
      <c r="J622" s="90"/>
      <c r="K622" s="90"/>
      <c r="L622" s="90"/>
      <c r="M622" s="90"/>
      <c r="N622" s="90"/>
      <c r="O622" s="90"/>
    </row>
    <row r="623" spans="4:15">
      <c r="D623" s="90"/>
      <c r="E623" s="90"/>
      <c r="F623" s="90"/>
      <c r="G623" s="90"/>
      <c r="H623" s="90"/>
      <c r="I623" s="90"/>
      <c r="J623" s="90"/>
      <c r="K623" s="90"/>
      <c r="L623" s="90"/>
      <c r="M623" s="90"/>
      <c r="N623" s="90"/>
      <c r="O623" s="90"/>
    </row>
    <row r="624" spans="4:15">
      <c r="D624" s="90"/>
      <c r="E624" s="90"/>
      <c r="F624" s="90"/>
      <c r="G624" s="90"/>
      <c r="H624" s="90"/>
      <c r="I624" s="90"/>
      <c r="J624" s="90"/>
      <c r="K624" s="90"/>
      <c r="L624" s="90"/>
      <c r="M624" s="90"/>
      <c r="N624" s="90"/>
      <c r="O624" s="90"/>
    </row>
    <row r="625" spans="4:15">
      <c r="D625" s="90"/>
      <c r="E625" s="90"/>
      <c r="F625" s="90"/>
      <c r="G625" s="90"/>
      <c r="H625" s="90"/>
      <c r="I625" s="90"/>
      <c r="J625" s="90"/>
      <c r="K625" s="90"/>
      <c r="L625" s="90"/>
      <c r="M625" s="90"/>
      <c r="N625" s="90"/>
      <c r="O625" s="90"/>
    </row>
    <row r="626" spans="4:15">
      <c r="D626" s="90"/>
      <c r="E626" s="90"/>
      <c r="F626" s="90"/>
      <c r="G626" s="90"/>
      <c r="H626" s="90"/>
      <c r="I626" s="90"/>
      <c r="J626" s="90"/>
      <c r="K626" s="90"/>
      <c r="L626" s="90"/>
      <c r="M626" s="90"/>
      <c r="N626" s="90"/>
      <c r="O626" s="90"/>
    </row>
    <row r="627" spans="4:15">
      <c r="D627" s="90"/>
      <c r="E627" s="90"/>
      <c r="F627" s="90"/>
      <c r="G627" s="90"/>
      <c r="H627" s="90"/>
      <c r="I627" s="90"/>
      <c r="J627" s="90"/>
      <c r="K627" s="90"/>
      <c r="L627" s="90"/>
      <c r="M627" s="90"/>
      <c r="N627" s="90"/>
      <c r="O627" s="90"/>
    </row>
    <row r="628" spans="4:15">
      <c r="D628" s="90"/>
      <c r="E628" s="90"/>
      <c r="F628" s="90"/>
      <c r="G628" s="90"/>
      <c r="H628" s="90"/>
      <c r="I628" s="90"/>
      <c r="J628" s="90"/>
      <c r="K628" s="90"/>
      <c r="L628" s="90"/>
      <c r="M628" s="90"/>
      <c r="N628" s="90"/>
      <c r="O628" s="90"/>
    </row>
    <row r="629" spans="4:15">
      <c r="D629" s="90"/>
      <c r="E629" s="90"/>
      <c r="F629" s="90"/>
      <c r="G629" s="90"/>
      <c r="H629" s="90"/>
      <c r="I629" s="90"/>
      <c r="J629" s="90"/>
      <c r="K629" s="90"/>
      <c r="L629" s="90"/>
      <c r="M629" s="90"/>
      <c r="N629" s="90"/>
      <c r="O629" s="90"/>
    </row>
    <row r="630" spans="4:15">
      <c r="D630" s="90"/>
      <c r="E630" s="90"/>
      <c r="F630" s="90"/>
      <c r="G630" s="90"/>
      <c r="H630" s="90"/>
      <c r="I630" s="90"/>
      <c r="J630" s="90"/>
      <c r="K630" s="90"/>
      <c r="L630" s="90"/>
      <c r="M630" s="90"/>
      <c r="N630" s="90"/>
      <c r="O630" s="90"/>
    </row>
    <row r="631" spans="4:15">
      <c r="D631" s="90"/>
      <c r="E631" s="90"/>
      <c r="F631" s="90"/>
      <c r="G631" s="90"/>
      <c r="H631" s="90"/>
      <c r="I631" s="90"/>
      <c r="J631" s="90"/>
      <c r="K631" s="90"/>
      <c r="L631" s="90"/>
      <c r="M631" s="90"/>
      <c r="N631" s="90"/>
      <c r="O631" s="90"/>
    </row>
    <row r="632" spans="4:15">
      <c r="D632" s="90"/>
      <c r="E632" s="90"/>
      <c r="F632" s="90"/>
      <c r="G632" s="90"/>
      <c r="H632" s="90"/>
      <c r="I632" s="90"/>
      <c r="J632" s="90"/>
      <c r="K632" s="90"/>
      <c r="L632" s="90"/>
      <c r="M632" s="90"/>
      <c r="N632" s="90"/>
      <c r="O632" s="90"/>
    </row>
    <row r="633" spans="4:15">
      <c r="D633" s="90"/>
      <c r="E633" s="90"/>
      <c r="F633" s="90"/>
      <c r="G633" s="90"/>
      <c r="H633" s="90"/>
      <c r="I633" s="90"/>
      <c r="J633" s="90"/>
      <c r="K633" s="90"/>
      <c r="L633" s="90"/>
      <c r="M633" s="90"/>
      <c r="N633" s="90"/>
      <c r="O633" s="90"/>
    </row>
    <row r="634" spans="4:15">
      <c r="D634" s="90"/>
      <c r="E634" s="90"/>
      <c r="F634" s="90"/>
      <c r="G634" s="90"/>
      <c r="H634" s="90"/>
      <c r="I634" s="90"/>
      <c r="J634" s="90"/>
      <c r="K634" s="90"/>
      <c r="L634" s="90"/>
      <c r="M634" s="90"/>
      <c r="N634" s="90"/>
      <c r="O634" s="90"/>
    </row>
    <row r="635" spans="4:15">
      <c r="D635" s="90"/>
      <c r="E635" s="90"/>
      <c r="F635" s="90"/>
      <c r="G635" s="90"/>
      <c r="H635" s="90"/>
      <c r="I635" s="90"/>
      <c r="J635" s="90"/>
      <c r="K635" s="90"/>
      <c r="L635" s="90"/>
      <c r="M635" s="90"/>
      <c r="N635" s="90"/>
      <c r="O635" s="90"/>
    </row>
    <row r="636" spans="4:15">
      <c r="D636" s="90"/>
      <c r="E636" s="90"/>
      <c r="F636" s="90"/>
      <c r="G636" s="90"/>
      <c r="H636" s="90"/>
      <c r="I636" s="90"/>
      <c r="J636" s="90"/>
      <c r="K636" s="90"/>
      <c r="L636" s="90"/>
      <c r="M636" s="90"/>
      <c r="N636" s="90"/>
      <c r="O636" s="90"/>
    </row>
    <row r="637" spans="4:15">
      <c r="D637" s="90"/>
      <c r="E637" s="90"/>
      <c r="F637" s="90"/>
      <c r="G637" s="90"/>
      <c r="H637" s="90"/>
      <c r="I637" s="90"/>
      <c r="J637" s="90"/>
      <c r="K637" s="90"/>
      <c r="L637" s="90"/>
      <c r="M637" s="90"/>
      <c r="N637" s="90"/>
      <c r="O637" s="90"/>
    </row>
    <row r="638" spans="4:15">
      <c r="D638" s="90"/>
      <c r="E638" s="90"/>
      <c r="F638" s="90"/>
      <c r="G638" s="90"/>
      <c r="H638" s="90"/>
      <c r="I638" s="90"/>
      <c r="J638" s="90"/>
      <c r="K638" s="90"/>
      <c r="L638" s="90"/>
      <c r="M638" s="90"/>
      <c r="N638" s="90"/>
      <c r="O638" s="90"/>
    </row>
    <row r="639" spans="4:15">
      <c r="D639" s="90"/>
      <c r="E639" s="90"/>
      <c r="F639" s="90"/>
      <c r="G639" s="90"/>
      <c r="H639" s="90"/>
      <c r="I639" s="90"/>
      <c r="J639" s="90"/>
      <c r="K639" s="90"/>
      <c r="L639" s="90"/>
      <c r="M639" s="90"/>
      <c r="N639" s="90"/>
      <c r="O639" s="90"/>
    </row>
    <row r="640" spans="4:15">
      <c r="D640" s="90"/>
      <c r="E640" s="90"/>
      <c r="F640" s="90"/>
      <c r="G640" s="90"/>
      <c r="H640" s="90"/>
      <c r="I640" s="90"/>
      <c r="J640" s="90"/>
      <c r="K640" s="90"/>
      <c r="L640" s="90"/>
      <c r="M640" s="90"/>
      <c r="N640" s="90"/>
      <c r="O640" s="90"/>
    </row>
    <row r="641" spans="4:15">
      <c r="D641" s="90"/>
      <c r="E641" s="90"/>
      <c r="F641" s="90"/>
      <c r="G641" s="90"/>
      <c r="H641" s="90"/>
      <c r="I641" s="90"/>
      <c r="J641" s="90"/>
      <c r="K641" s="90"/>
      <c r="L641" s="90"/>
      <c r="M641" s="90"/>
      <c r="N641" s="90"/>
      <c r="O641" s="90"/>
    </row>
    <row r="642" spans="4:15">
      <c r="D642" s="90"/>
      <c r="E642" s="90"/>
      <c r="F642" s="90"/>
      <c r="G642" s="90"/>
      <c r="H642" s="90"/>
      <c r="I642" s="90"/>
      <c r="J642" s="90"/>
      <c r="K642" s="90"/>
      <c r="L642" s="90"/>
      <c r="M642" s="90"/>
      <c r="N642" s="90"/>
      <c r="O642" s="90"/>
    </row>
    <row r="643" spans="4:15">
      <c r="D643" s="90"/>
      <c r="E643" s="90"/>
      <c r="F643" s="90"/>
      <c r="G643" s="90"/>
      <c r="H643" s="90"/>
      <c r="I643" s="90"/>
      <c r="J643" s="90"/>
      <c r="K643" s="90"/>
      <c r="L643" s="90"/>
      <c r="M643" s="90"/>
      <c r="N643" s="90"/>
      <c r="O643" s="90"/>
    </row>
    <row r="644" spans="4:15">
      <c r="D644" s="90"/>
      <c r="E644" s="90"/>
      <c r="F644" s="90"/>
      <c r="G644" s="90"/>
      <c r="H644" s="90"/>
      <c r="I644" s="90"/>
      <c r="J644" s="90"/>
      <c r="K644" s="90"/>
      <c r="L644" s="90"/>
      <c r="M644" s="90"/>
      <c r="N644" s="90"/>
      <c r="O644" s="90"/>
    </row>
    <row r="645" spans="4:15">
      <c r="D645" s="90"/>
      <c r="E645" s="90"/>
      <c r="F645" s="90"/>
      <c r="G645" s="90"/>
      <c r="H645" s="90"/>
      <c r="I645" s="90"/>
      <c r="J645" s="90"/>
      <c r="K645" s="90"/>
      <c r="L645" s="90"/>
      <c r="M645" s="90"/>
      <c r="N645" s="90"/>
      <c r="O645" s="90"/>
    </row>
    <row r="646" spans="4:15">
      <c r="D646" s="90"/>
      <c r="E646" s="90"/>
      <c r="F646" s="90"/>
      <c r="G646" s="90"/>
      <c r="H646" s="90"/>
      <c r="I646" s="90"/>
      <c r="J646" s="90"/>
      <c r="K646" s="90"/>
      <c r="L646" s="90"/>
      <c r="M646" s="90"/>
      <c r="N646" s="90"/>
      <c r="O646" s="90"/>
    </row>
    <row r="647" spans="4:15">
      <c r="D647" s="90"/>
      <c r="E647" s="90"/>
      <c r="F647" s="90"/>
      <c r="G647" s="90"/>
      <c r="H647" s="90"/>
      <c r="I647" s="90"/>
      <c r="J647" s="90"/>
      <c r="K647" s="90"/>
      <c r="L647" s="90"/>
      <c r="M647" s="90"/>
      <c r="N647" s="90"/>
      <c r="O647" s="90"/>
    </row>
    <row r="648" spans="4:15">
      <c r="D648" s="90"/>
      <c r="E648" s="90"/>
      <c r="F648" s="90"/>
      <c r="G648" s="90"/>
      <c r="H648" s="90"/>
      <c r="I648" s="90"/>
      <c r="J648" s="90"/>
      <c r="K648" s="90"/>
      <c r="L648" s="90"/>
      <c r="M648" s="90"/>
      <c r="N648" s="90"/>
      <c r="O648" s="90"/>
    </row>
    <row r="649" spans="4:15">
      <c r="D649" s="90"/>
      <c r="E649" s="90"/>
      <c r="F649" s="90"/>
      <c r="G649" s="90"/>
      <c r="H649" s="90"/>
      <c r="I649" s="90"/>
      <c r="J649" s="90"/>
      <c r="K649" s="90"/>
      <c r="L649" s="90"/>
      <c r="M649" s="90"/>
      <c r="N649" s="90"/>
      <c r="O649" s="90"/>
    </row>
    <row r="650" spans="4:15">
      <c r="D650" s="90"/>
      <c r="E650" s="90"/>
      <c r="F650" s="90"/>
      <c r="G650" s="90"/>
      <c r="H650" s="90"/>
      <c r="I650" s="90"/>
      <c r="J650" s="90"/>
      <c r="K650" s="90"/>
      <c r="L650" s="90"/>
      <c r="M650" s="90"/>
      <c r="N650" s="90"/>
      <c r="O650" s="90"/>
    </row>
    <row r="651" spans="4:15">
      <c r="D651" s="90"/>
      <c r="E651" s="90"/>
      <c r="F651" s="90"/>
      <c r="G651" s="90"/>
      <c r="H651" s="90"/>
      <c r="I651" s="90"/>
      <c r="J651" s="90"/>
      <c r="K651" s="90"/>
      <c r="L651" s="90"/>
      <c r="M651" s="90"/>
      <c r="N651" s="90"/>
      <c r="O651" s="90"/>
    </row>
    <row r="652" spans="4:15">
      <c r="D652" s="90"/>
      <c r="E652" s="90"/>
      <c r="F652" s="90"/>
      <c r="G652" s="90"/>
      <c r="H652" s="90"/>
      <c r="I652" s="90"/>
      <c r="J652" s="90"/>
      <c r="K652" s="90"/>
      <c r="L652" s="90"/>
      <c r="M652" s="90"/>
      <c r="N652" s="90"/>
      <c r="O652" s="90"/>
    </row>
    <row r="653" spans="4:15">
      <c r="D653" s="90"/>
      <c r="E653" s="90"/>
      <c r="F653" s="90"/>
      <c r="G653" s="90"/>
      <c r="H653" s="90"/>
      <c r="I653" s="90"/>
      <c r="J653" s="90"/>
      <c r="K653" s="90"/>
      <c r="L653" s="90"/>
      <c r="M653" s="90"/>
      <c r="N653" s="90"/>
      <c r="O653" s="90"/>
    </row>
    <row r="654" spans="4:15">
      <c r="D654" s="90"/>
      <c r="E654" s="90"/>
      <c r="F654" s="90"/>
      <c r="G654" s="90"/>
      <c r="H654" s="90"/>
      <c r="I654" s="90"/>
      <c r="J654" s="90"/>
      <c r="K654" s="90"/>
      <c r="L654" s="90"/>
      <c r="M654" s="90"/>
      <c r="N654" s="90"/>
      <c r="O654" s="90"/>
    </row>
    <row r="655" spans="4:15">
      <c r="D655" s="90"/>
      <c r="E655" s="90"/>
      <c r="F655" s="90"/>
      <c r="G655" s="90"/>
      <c r="H655" s="90"/>
      <c r="I655" s="90"/>
      <c r="J655" s="90"/>
      <c r="K655" s="90"/>
      <c r="L655" s="90"/>
      <c r="M655" s="90"/>
      <c r="N655" s="90"/>
      <c r="O655" s="90"/>
    </row>
    <row r="656" spans="4:15">
      <c r="D656" s="90"/>
      <c r="E656" s="90"/>
      <c r="F656" s="90"/>
      <c r="G656" s="90"/>
      <c r="H656" s="90"/>
      <c r="I656" s="90"/>
      <c r="J656" s="90"/>
      <c r="K656" s="90"/>
      <c r="L656" s="90"/>
      <c r="M656" s="90"/>
      <c r="N656" s="90"/>
      <c r="O656" s="90"/>
    </row>
    <row r="657" spans="4:15">
      <c r="D657" s="90"/>
      <c r="E657" s="90"/>
      <c r="F657" s="90"/>
      <c r="G657" s="90"/>
      <c r="H657" s="90"/>
      <c r="I657" s="90"/>
      <c r="J657" s="90"/>
      <c r="K657" s="90"/>
      <c r="L657" s="90"/>
      <c r="M657" s="90"/>
      <c r="N657" s="90"/>
      <c r="O657" s="90"/>
    </row>
    <row r="658" spans="4:15">
      <c r="D658" s="90"/>
      <c r="E658" s="90"/>
      <c r="F658" s="90"/>
      <c r="G658" s="90"/>
      <c r="H658" s="90"/>
      <c r="I658" s="90"/>
      <c r="J658" s="90"/>
      <c r="K658" s="90"/>
      <c r="L658" s="90"/>
      <c r="M658" s="90"/>
      <c r="N658" s="90"/>
      <c r="O658" s="90"/>
    </row>
    <row r="659" spans="4:15">
      <c r="D659" s="90"/>
      <c r="E659" s="90"/>
      <c r="F659" s="90"/>
      <c r="G659" s="90"/>
      <c r="H659" s="90"/>
      <c r="I659" s="90"/>
      <c r="J659" s="90"/>
      <c r="K659" s="90"/>
      <c r="L659" s="90"/>
      <c r="M659" s="90"/>
      <c r="N659" s="90"/>
      <c r="O659" s="90"/>
    </row>
    <row r="660" spans="4:15">
      <c r="D660" s="90"/>
      <c r="E660" s="90"/>
      <c r="F660" s="90"/>
      <c r="G660" s="90"/>
      <c r="H660" s="90"/>
      <c r="I660" s="90"/>
      <c r="J660" s="90"/>
      <c r="K660" s="90"/>
      <c r="L660" s="90"/>
      <c r="M660" s="90"/>
      <c r="N660" s="90"/>
      <c r="O660" s="90"/>
    </row>
    <row r="661" spans="4:15">
      <c r="D661" s="90"/>
      <c r="E661" s="90"/>
      <c r="F661" s="90"/>
      <c r="G661" s="90"/>
      <c r="H661" s="90"/>
      <c r="I661" s="90"/>
      <c r="J661" s="90"/>
      <c r="K661" s="90"/>
      <c r="L661" s="90"/>
      <c r="M661" s="90"/>
      <c r="N661" s="90"/>
      <c r="O661" s="90"/>
    </row>
    <row r="662" spans="4:15">
      <c r="D662" s="90"/>
      <c r="E662" s="90"/>
      <c r="F662" s="90"/>
      <c r="G662" s="90"/>
      <c r="H662" s="90"/>
      <c r="I662" s="90"/>
      <c r="J662" s="90"/>
      <c r="K662" s="90"/>
      <c r="L662" s="90"/>
      <c r="M662" s="90"/>
      <c r="N662" s="90"/>
      <c r="O662" s="90"/>
    </row>
    <row r="663" spans="4:15">
      <c r="D663" s="90"/>
      <c r="E663" s="90"/>
      <c r="F663" s="90"/>
      <c r="G663" s="90"/>
      <c r="H663" s="90"/>
      <c r="I663" s="90"/>
      <c r="J663" s="90"/>
      <c r="K663" s="90"/>
      <c r="L663" s="90"/>
      <c r="M663" s="90"/>
      <c r="N663" s="90"/>
      <c r="O663" s="90"/>
    </row>
    <row r="664" spans="4:15">
      <c r="D664" s="90"/>
      <c r="E664" s="90"/>
      <c r="F664" s="90"/>
      <c r="G664" s="90"/>
      <c r="H664" s="90"/>
      <c r="I664" s="90"/>
      <c r="J664" s="90"/>
      <c r="K664" s="90"/>
      <c r="L664" s="90"/>
      <c r="M664" s="90"/>
      <c r="N664" s="90"/>
      <c r="O664" s="90"/>
    </row>
    <row r="665" spans="4:15">
      <c r="D665" s="90"/>
      <c r="E665" s="90"/>
      <c r="F665" s="90"/>
      <c r="G665" s="90"/>
      <c r="H665" s="90"/>
      <c r="I665" s="90"/>
      <c r="J665" s="90"/>
      <c r="K665" s="90"/>
      <c r="L665" s="90"/>
      <c r="M665" s="90"/>
      <c r="N665" s="90"/>
      <c r="O665" s="90"/>
    </row>
    <row r="666" spans="4:15">
      <c r="D666" s="90"/>
      <c r="E666" s="90"/>
      <c r="F666" s="90"/>
      <c r="G666" s="90"/>
      <c r="H666" s="90"/>
      <c r="I666" s="90"/>
      <c r="J666" s="90"/>
      <c r="K666" s="90"/>
      <c r="L666" s="90"/>
      <c r="M666" s="90"/>
      <c r="N666" s="90"/>
      <c r="O666" s="90"/>
    </row>
    <row r="667" spans="4:15">
      <c r="D667" s="90"/>
      <c r="E667" s="90"/>
      <c r="F667" s="90"/>
      <c r="G667" s="90"/>
      <c r="H667" s="90"/>
      <c r="I667" s="90"/>
      <c r="J667" s="90"/>
      <c r="K667" s="90"/>
      <c r="L667" s="90"/>
      <c r="M667" s="90"/>
      <c r="N667" s="90"/>
      <c r="O667" s="90"/>
    </row>
    <row r="668" spans="4:15">
      <c r="D668" s="90"/>
      <c r="E668" s="90"/>
      <c r="F668" s="90"/>
      <c r="G668" s="90"/>
      <c r="H668" s="90"/>
      <c r="I668" s="90"/>
      <c r="J668" s="90"/>
      <c r="K668" s="90"/>
      <c r="L668" s="90"/>
      <c r="M668" s="90"/>
      <c r="N668" s="90"/>
      <c r="O668" s="90"/>
    </row>
    <row r="669" spans="4:15">
      <c r="D669" s="90"/>
      <c r="E669" s="90"/>
      <c r="F669" s="90"/>
      <c r="G669" s="90"/>
      <c r="H669" s="90"/>
      <c r="I669" s="90"/>
      <c r="J669" s="90"/>
      <c r="K669" s="90"/>
      <c r="L669" s="90"/>
      <c r="M669" s="90"/>
      <c r="N669" s="90"/>
      <c r="O669" s="90"/>
    </row>
    <row r="670" spans="4:15">
      <c r="D670" s="90"/>
      <c r="E670" s="90"/>
      <c r="F670" s="90"/>
      <c r="G670" s="90"/>
      <c r="H670" s="90"/>
      <c r="I670" s="90"/>
      <c r="J670" s="90"/>
      <c r="K670" s="90"/>
      <c r="L670" s="90"/>
      <c r="M670" s="90"/>
      <c r="N670" s="90"/>
      <c r="O670" s="90"/>
    </row>
    <row r="671" spans="4:15">
      <c r="D671" s="90"/>
      <c r="E671" s="90"/>
      <c r="F671" s="90"/>
      <c r="G671" s="90"/>
      <c r="H671" s="90"/>
      <c r="I671" s="90"/>
      <c r="J671" s="90"/>
      <c r="K671" s="90"/>
      <c r="L671" s="90"/>
      <c r="M671" s="90"/>
      <c r="N671" s="90"/>
      <c r="O671" s="90"/>
    </row>
    <row r="672" spans="4:15">
      <c r="D672" s="90"/>
      <c r="E672" s="90"/>
      <c r="F672" s="90"/>
      <c r="G672" s="90"/>
      <c r="H672" s="90"/>
      <c r="I672" s="90"/>
      <c r="J672" s="90"/>
      <c r="K672" s="90"/>
      <c r="L672" s="90"/>
      <c r="M672" s="90"/>
      <c r="N672" s="90"/>
      <c r="O672" s="90"/>
    </row>
    <row r="673" spans="4:15">
      <c r="D673" s="90"/>
      <c r="E673" s="90"/>
      <c r="F673" s="90"/>
      <c r="G673" s="90"/>
      <c r="H673" s="90"/>
      <c r="I673" s="90"/>
      <c r="J673" s="90"/>
      <c r="K673" s="90"/>
      <c r="L673" s="90"/>
      <c r="M673" s="90"/>
      <c r="N673" s="90"/>
      <c r="O673" s="90"/>
    </row>
    <row r="674" spans="4:15">
      <c r="D674" s="90"/>
      <c r="E674" s="90"/>
      <c r="F674" s="90"/>
      <c r="G674" s="90"/>
      <c r="H674" s="90"/>
      <c r="I674" s="90"/>
      <c r="J674" s="90"/>
      <c r="K674" s="90"/>
      <c r="L674" s="90"/>
      <c r="M674" s="90"/>
      <c r="N674" s="90"/>
      <c r="O674" s="90"/>
    </row>
    <row r="675" spans="4:15">
      <c r="D675" s="90"/>
      <c r="E675" s="90"/>
      <c r="F675" s="90"/>
      <c r="G675" s="90"/>
      <c r="H675" s="90"/>
      <c r="I675" s="90"/>
      <c r="J675" s="90"/>
      <c r="K675" s="90"/>
      <c r="L675" s="90"/>
      <c r="M675" s="90"/>
      <c r="N675" s="90"/>
      <c r="O675" s="90"/>
    </row>
    <row r="676" spans="4:15">
      <c r="D676" s="90"/>
      <c r="E676" s="90"/>
      <c r="F676" s="90"/>
      <c r="G676" s="90"/>
      <c r="H676" s="90"/>
      <c r="I676" s="90"/>
      <c r="J676" s="90"/>
      <c r="K676" s="90"/>
      <c r="L676" s="90"/>
      <c r="M676" s="90"/>
      <c r="N676" s="90"/>
      <c r="O676" s="90"/>
    </row>
    <row r="677" spans="4:15">
      <c r="D677" s="90"/>
      <c r="E677" s="90"/>
      <c r="F677" s="90"/>
      <c r="G677" s="90"/>
      <c r="H677" s="90"/>
      <c r="I677" s="90"/>
      <c r="J677" s="90"/>
      <c r="K677" s="90"/>
      <c r="L677" s="90"/>
      <c r="M677" s="90"/>
      <c r="N677" s="90"/>
      <c r="O677" s="90"/>
    </row>
    <row r="678" spans="4:15">
      <c r="D678" s="90"/>
      <c r="E678" s="90"/>
      <c r="F678" s="90"/>
      <c r="G678" s="90"/>
      <c r="H678" s="90"/>
      <c r="I678" s="90"/>
      <c r="J678" s="90"/>
      <c r="K678" s="90"/>
      <c r="L678" s="90"/>
      <c r="M678" s="90"/>
      <c r="N678" s="90"/>
      <c r="O678" s="90"/>
    </row>
    <row r="679" spans="4:15">
      <c r="D679" s="90"/>
      <c r="E679" s="90"/>
      <c r="F679" s="90"/>
      <c r="G679" s="90"/>
      <c r="H679" s="90"/>
      <c r="I679" s="90"/>
      <c r="J679" s="90"/>
      <c r="K679" s="90"/>
      <c r="L679" s="90"/>
      <c r="M679" s="90"/>
      <c r="N679" s="90"/>
      <c r="O679" s="90"/>
    </row>
    <row r="680" spans="4:15">
      <c r="D680" s="90"/>
      <c r="E680" s="90"/>
      <c r="F680" s="90"/>
      <c r="G680" s="90"/>
      <c r="H680" s="90"/>
      <c r="I680" s="90"/>
      <c r="J680" s="90"/>
      <c r="K680" s="90"/>
      <c r="L680" s="90"/>
      <c r="M680" s="90"/>
      <c r="N680" s="90"/>
      <c r="O680" s="90"/>
    </row>
    <row r="681" spans="4:15">
      <c r="D681" s="90"/>
      <c r="E681" s="90"/>
      <c r="F681" s="90"/>
      <c r="G681" s="90"/>
      <c r="H681" s="90"/>
      <c r="I681" s="90"/>
      <c r="J681" s="90"/>
      <c r="K681" s="90"/>
      <c r="L681" s="90"/>
      <c r="M681" s="90"/>
      <c r="N681" s="90"/>
      <c r="O681" s="90"/>
    </row>
    <row r="682" spans="4:15">
      <c r="D682" s="90"/>
      <c r="E682" s="90"/>
      <c r="F682" s="90"/>
      <c r="G682" s="90"/>
      <c r="H682" s="90"/>
      <c r="I682" s="90"/>
      <c r="J682" s="90"/>
      <c r="K682" s="90"/>
      <c r="L682" s="90"/>
      <c r="M682" s="90"/>
      <c r="N682" s="90"/>
      <c r="O682" s="90"/>
    </row>
    <row r="683" spans="4:15">
      <c r="D683" s="90"/>
      <c r="E683" s="90"/>
      <c r="F683" s="90"/>
      <c r="G683" s="90"/>
      <c r="H683" s="90"/>
      <c r="I683" s="90"/>
      <c r="J683" s="90"/>
      <c r="K683" s="90"/>
      <c r="L683" s="90"/>
      <c r="M683" s="90"/>
      <c r="N683" s="90"/>
      <c r="O683" s="90"/>
    </row>
    <row r="684" spans="4:15">
      <c r="D684" s="90"/>
      <c r="E684" s="90"/>
      <c r="F684" s="90"/>
      <c r="G684" s="90"/>
      <c r="H684" s="90"/>
      <c r="I684" s="90"/>
      <c r="J684" s="90"/>
      <c r="K684" s="90"/>
      <c r="L684" s="90"/>
      <c r="M684" s="90"/>
      <c r="N684" s="90"/>
      <c r="O684" s="90"/>
    </row>
    <row r="685" spans="4:15">
      <c r="D685" s="90"/>
      <c r="E685" s="90"/>
      <c r="F685" s="90"/>
      <c r="G685" s="90"/>
      <c r="H685" s="90"/>
      <c r="I685" s="90"/>
      <c r="J685" s="90"/>
      <c r="K685" s="90"/>
      <c r="L685" s="90"/>
      <c r="M685" s="90"/>
      <c r="N685" s="90"/>
      <c r="O685" s="90"/>
    </row>
    <row r="686" spans="4:15">
      <c r="D686" s="90"/>
      <c r="E686" s="90"/>
      <c r="F686" s="90"/>
      <c r="G686" s="90"/>
      <c r="H686" s="90"/>
      <c r="I686" s="90"/>
      <c r="J686" s="90"/>
      <c r="K686" s="90"/>
      <c r="L686" s="90"/>
      <c r="M686" s="90"/>
      <c r="N686" s="90"/>
      <c r="O686" s="90"/>
    </row>
    <row r="687" spans="4:15">
      <c r="D687" s="90"/>
      <c r="E687" s="90"/>
      <c r="F687" s="90"/>
      <c r="G687" s="90"/>
      <c r="H687" s="90"/>
      <c r="I687" s="90"/>
      <c r="J687" s="90"/>
      <c r="K687" s="90"/>
      <c r="L687" s="90"/>
      <c r="M687" s="90"/>
      <c r="N687" s="90"/>
      <c r="O687" s="90"/>
    </row>
    <row r="688" spans="4:15">
      <c r="D688" s="90"/>
      <c r="E688" s="90"/>
      <c r="F688" s="90"/>
      <c r="G688" s="90"/>
      <c r="H688" s="90"/>
      <c r="I688" s="90"/>
      <c r="J688" s="90"/>
      <c r="K688" s="90"/>
      <c r="L688" s="90"/>
      <c r="M688" s="90"/>
      <c r="N688" s="90"/>
      <c r="O688" s="90"/>
    </row>
    <row r="689" spans="4:15">
      <c r="D689" s="90"/>
      <c r="E689" s="90"/>
      <c r="F689" s="90"/>
      <c r="G689" s="90"/>
      <c r="H689" s="90"/>
      <c r="I689" s="90"/>
      <c r="J689" s="90"/>
      <c r="K689" s="90"/>
      <c r="L689" s="90"/>
      <c r="M689" s="90"/>
      <c r="N689" s="90"/>
      <c r="O689" s="90"/>
    </row>
    <row r="690" spans="4:15">
      <c r="D690" s="90"/>
      <c r="E690" s="90"/>
      <c r="F690" s="90"/>
      <c r="G690" s="90"/>
      <c r="H690" s="90"/>
      <c r="I690" s="90"/>
      <c r="J690" s="90"/>
      <c r="K690" s="90"/>
      <c r="L690" s="90"/>
      <c r="M690" s="90"/>
      <c r="N690" s="90"/>
      <c r="O690" s="90"/>
    </row>
    <row r="691" spans="4:15">
      <c r="D691" s="90"/>
      <c r="E691" s="90"/>
      <c r="F691" s="90"/>
      <c r="G691" s="90"/>
      <c r="H691" s="90"/>
      <c r="I691" s="90"/>
      <c r="J691" s="90"/>
      <c r="K691" s="90"/>
      <c r="L691" s="90"/>
      <c r="M691" s="90"/>
      <c r="N691" s="90"/>
      <c r="O691" s="90"/>
    </row>
    <row r="692" spans="4:15">
      <c r="D692" s="90"/>
      <c r="E692" s="90"/>
      <c r="F692" s="90"/>
      <c r="G692" s="90"/>
      <c r="H692" s="90"/>
      <c r="I692" s="90"/>
      <c r="J692" s="90"/>
      <c r="K692" s="90"/>
      <c r="L692" s="90"/>
      <c r="M692" s="90"/>
      <c r="N692" s="90"/>
      <c r="O692" s="90"/>
    </row>
    <row r="693" spans="4:15">
      <c r="D693" s="90"/>
      <c r="E693" s="90"/>
      <c r="F693" s="90"/>
      <c r="G693" s="90"/>
      <c r="H693" s="90"/>
      <c r="I693" s="90"/>
      <c r="J693" s="90"/>
      <c r="K693" s="90"/>
      <c r="L693" s="90"/>
      <c r="M693" s="90"/>
      <c r="N693" s="90"/>
      <c r="O693" s="90"/>
    </row>
    <row r="694" spans="4:15">
      <c r="D694" s="90"/>
      <c r="E694" s="90"/>
      <c r="F694" s="90"/>
      <c r="G694" s="90"/>
      <c r="H694" s="90"/>
      <c r="I694" s="90"/>
      <c r="J694" s="90"/>
      <c r="K694" s="90"/>
      <c r="L694" s="90"/>
      <c r="M694" s="90"/>
      <c r="N694" s="90"/>
      <c r="O694" s="90"/>
    </row>
    <row r="695" spans="4:15">
      <c r="D695" s="90"/>
      <c r="E695" s="90"/>
      <c r="F695" s="90"/>
      <c r="G695" s="90"/>
      <c r="H695" s="90"/>
      <c r="I695" s="90"/>
      <c r="J695" s="90"/>
      <c r="K695" s="90"/>
      <c r="L695" s="90"/>
      <c r="M695" s="90"/>
      <c r="N695" s="90"/>
      <c r="O695" s="90"/>
    </row>
    <row r="696" spans="4:15">
      <c r="D696" s="90"/>
      <c r="E696" s="90"/>
      <c r="F696" s="90"/>
      <c r="G696" s="90"/>
      <c r="H696" s="90"/>
      <c r="I696" s="90"/>
      <c r="J696" s="90"/>
      <c r="K696" s="90"/>
      <c r="L696" s="90"/>
      <c r="M696" s="90"/>
      <c r="N696" s="90"/>
      <c r="O696" s="90"/>
    </row>
    <row r="697" spans="4:15">
      <c r="D697" s="90"/>
      <c r="E697" s="90"/>
      <c r="F697" s="90"/>
      <c r="G697" s="90"/>
      <c r="H697" s="90"/>
      <c r="I697" s="90"/>
      <c r="J697" s="90"/>
      <c r="K697" s="90"/>
      <c r="L697" s="90"/>
      <c r="M697" s="90"/>
      <c r="N697" s="90"/>
      <c r="O697" s="90"/>
    </row>
    <row r="698" spans="4:15">
      <c r="D698" s="90"/>
      <c r="E698" s="90"/>
      <c r="F698" s="90"/>
      <c r="G698" s="90"/>
      <c r="H698" s="90"/>
      <c r="I698" s="90"/>
      <c r="J698" s="90"/>
      <c r="K698" s="90"/>
      <c r="L698" s="90"/>
      <c r="M698" s="90"/>
      <c r="N698" s="90"/>
      <c r="O698" s="90"/>
    </row>
    <row r="699" spans="4:15">
      <c r="D699" s="90"/>
      <c r="E699" s="90"/>
      <c r="F699" s="90"/>
      <c r="G699" s="90"/>
      <c r="H699" s="90"/>
      <c r="I699" s="90"/>
      <c r="J699" s="90"/>
      <c r="K699" s="90"/>
      <c r="L699" s="90"/>
      <c r="M699" s="90"/>
      <c r="N699" s="90"/>
      <c r="O699" s="90"/>
    </row>
    <row r="700" spans="4:15">
      <c r="D700" s="90"/>
      <c r="E700" s="90"/>
      <c r="F700" s="90"/>
      <c r="G700" s="90"/>
      <c r="H700" s="90"/>
      <c r="I700" s="90"/>
      <c r="J700" s="90"/>
      <c r="K700" s="90"/>
      <c r="L700" s="90"/>
      <c r="M700" s="90"/>
      <c r="N700" s="90"/>
      <c r="O700" s="90"/>
    </row>
    <row r="701" spans="4:15">
      <c r="D701" s="90"/>
      <c r="E701" s="90"/>
      <c r="F701" s="90"/>
      <c r="G701" s="90"/>
      <c r="H701" s="90"/>
      <c r="I701" s="90"/>
      <c r="J701" s="90"/>
      <c r="K701" s="90"/>
      <c r="L701" s="90"/>
      <c r="M701" s="90"/>
      <c r="N701" s="90"/>
      <c r="O701" s="90"/>
    </row>
    <row r="702" spans="4:15">
      <c r="D702" s="90"/>
      <c r="E702" s="90"/>
      <c r="F702" s="90"/>
      <c r="G702" s="90"/>
      <c r="H702" s="90"/>
      <c r="I702" s="90"/>
      <c r="J702" s="90"/>
      <c r="K702" s="90"/>
      <c r="L702" s="90"/>
      <c r="M702" s="90"/>
      <c r="N702" s="90"/>
      <c r="O702" s="90"/>
    </row>
    <row r="703" spans="4:15">
      <c r="D703" s="90"/>
      <c r="E703" s="90"/>
      <c r="F703" s="90"/>
      <c r="G703" s="90"/>
      <c r="H703" s="90"/>
      <c r="I703" s="90"/>
      <c r="J703" s="90"/>
      <c r="K703" s="90"/>
      <c r="L703" s="90"/>
      <c r="M703" s="90"/>
      <c r="N703" s="90"/>
      <c r="O703" s="90"/>
    </row>
    <row r="704" spans="4:15">
      <c r="D704" s="90"/>
      <c r="E704" s="90"/>
      <c r="F704" s="90"/>
      <c r="G704" s="90"/>
      <c r="H704" s="90"/>
      <c r="I704" s="90"/>
      <c r="J704" s="90"/>
      <c r="K704" s="90"/>
      <c r="L704" s="90"/>
      <c r="M704" s="90"/>
      <c r="N704" s="90"/>
      <c r="O704" s="90"/>
    </row>
    <row r="705" spans="4:15">
      <c r="D705" s="90"/>
      <c r="E705" s="90"/>
      <c r="F705" s="90"/>
      <c r="G705" s="90"/>
      <c r="H705" s="90"/>
      <c r="I705" s="90"/>
      <c r="J705" s="90"/>
      <c r="K705" s="90"/>
      <c r="L705" s="90"/>
      <c r="M705" s="90"/>
      <c r="N705" s="90"/>
      <c r="O705" s="90"/>
    </row>
    <row r="706" spans="4:15">
      <c r="D706" s="90"/>
      <c r="E706" s="90"/>
      <c r="F706" s="90"/>
      <c r="G706" s="90"/>
      <c r="H706" s="90"/>
      <c r="I706" s="90"/>
      <c r="J706" s="90"/>
      <c r="K706" s="90"/>
      <c r="L706" s="90"/>
      <c r="M706" s="90"/>
      <c r="N706" s="90"/>
      <c r="O706" s="90"/>
    </row>
    <row r="707" spans="4:15">
      <c r="D707" s="90"/>
      <c r="E707" s="90"/>
      <c r="F707" s="90"/>
      <c r="G707" s="90"/>
      <c r="H707" s="90"/>
      <c r="I707" s="90"/>
      <c r="J707" s="90"/>
      <c r="K707" s="90"/>
      <c r="L707" s="90"/>
      <c r="M707" s="90"/>
      <c r="N707" s="90"/>
      <c r="O707" s="90"/>
    </row>
    <row r="708" spans="4:15">
      <c r="D708" s="90"/>
      <c r="E708" s="90"/>
      <c r="F708" s="90"/>
      <c r="G708" s="90"/>
      <c r="H708" s="90"/>
      <c r="I708" s="90"/>
      <c r="J708" s="90"/>
      <c r="K708" s="90"/>
      <c r="L708" s="90"/>
      <c r="M708" s="90"/>
      <c r="N708" s="90"/>
      <c r="O708" s="90"/>
    </row>
    <row r="709" spans="4:15">
      <c r="D709" s="90"/>
      <c r="E709" s="90"/>
      <c r="F709" s="90"/>
      <c r="G709" s="90"/>
      <c r="H709" s="90"/>
      <c r="I709" s="90"/>
      <c r="J709" s="90"/>
      <c r="K709" s="90"/>
      <c r="L709" s="90"/>
      <c r="M709" s="90"/>
      <c r="N709" s="90"/>
      <c r="O709" s="90"/>
    </row>
    <row r="710" spans="4:15">
      <c r="D710" s="90"/>
      <c r="E710" s="90"/>
      <c r="F710" s="90"/>
      <c r="G710" s="90"/>
      <c r="H710" s="90"/>
      <c r="I710" s="90"/>
      <c r="J710" s="90"/>
      <c r="K710" s="90"/>
      <c r="L710" s="90"/>
      <c r="M710" s="90"/>
      <c r="N710" s="90"/>
      <c r="O710" s="90"/>
    </row>
    <row r="711" spans="4:15">
      <c r="D711" s="90"/>
      <c r="E711" s="90"/>
      <c r="F711" s="90"/>
      <c r="G711" s="90"/>
      <c r="H711" s="90"/>
      <c r="I711" s="90"/>
      <c r="J711" s="90"/>
      <c r="K711" s="90"/>
      <c r="L711" s="90"/>
      <c r="M711" s="90"/>
      <c r="N711" s="90"/>
      <c r="O711" s="90"/>
    </row>
    <row r="712" spans="4:15">
      <c r="D712" s="90"/>
      <c r="E712" s="90"/>
      <c r="F712" s="90"/>
      <c r="G712" s="90"/>
      <c r="H712" s="90"/>
      <c r="I712" s="90"/>
      <c r="J712" s="90"/>
      <c r="K712" s="90"/>
      <c r="L712" s="90"/>
      <c r="M712" s="90"/>
      <c r="N712" s="90"/>
      <c r="O712" s="90"/>
    </row>
    <row r="713" spans="4:15">
      <c r="D713" s="90"/>
      <c r="E713" s="90"/>
      <c r="F713" s="90"/>
      <c r="G713" s="90"/>
      <c r="H713" s="90"/>
      <c r="I713" s="90"/>
      <c r="J713" s="90"/>
      <c r="K713" s="90"/>
      <c r="L713" s="90"/>
      <c r="M713" s="90"/>
      <c r="N713" s="90"/>
      <c r="O713" s="90"/>
    </row>
    <row r="714" spans="4:15">
      <c r="D714" s="90"/>
      <c r="E714" s="90"/>
      <c r="F714" s="90"/>
      <c r="G714" s="90"/>
      <c r="H714" s="90"/>
      <c r="I714" s="90"/>
      <c r="J714" s="90"/>
      <c r="K714" s="90"/>
      <c r="L714" s="90"/>
      <c r="M714" s="90"/>
      <c r="N714" s="90"/>
      <c r="O714" s="90"/>
    </row>
    <row r="715" spans="4:15">
      <c r="D715" s="90"/>
      <c r="E715" s="90"/>
      <c r="F715" s="90"/>
      <c r="G715" s="90"/>
      <c r="H715" s="90"/>
      <c r="I715" s="90"/>
      <c r="J715" s="90"/>
      <c r="K715" s="90"/>
      <c r="L715" s="90"/>
      <c r="M715" s="90"/>
      <c r="N715" s="90"/>
      <c r="O715" s="90"/>
    </row>
    <row r="716" spans="4:15">
      <c r="D716" s="90"/>
      <c r="E716" s="90"/>
      <c r="F716" s="90"/>
      <c r="G716" s="90"/>
      <c r="H716" s="90"/>
      <c r="I716" s="90"/>
      <c r="J716" s="90"/>
      <c r="K716" s="90"/>
      <c r="L716" s="90"/>
      <c r="M716" s="90"/>
      <c r="N716" s="90"/>
      <c r="O716" s="90"/>
    </row>
    <row r="717" spans="4:15">
      <c r="D717" s="90"/>
      <c r="E717" s="90"/>
      <c r="F717" s="90"/>
      <c r="G717" s="90"/>
      <c r="H717" s="90"/>
      <c r="I717" s="90"/>
      <c r="J717" s="90"/>
      <c r="K717" s="90"/>
      <c r="L717" s="90"/>
      <c r="M717" s="90"/>
      <c r="N717" s="90"/>
      <c r="O717" s="90"/>
    </row>
    <row r="718" spans="4:15">
      <c r="D718" s="90"/>
      <c r="E718" s="90"/>
      <c r="F718" s="90"/>
      <c r="G718" s="90"/>
      <c r="H718" s="90"/>
      <c r="I718" s="90"/>
      <c r="J718" s="90"/>
      <c r="K718" s="90"/>
      <c r="L718" s="90"/>
      <c r="M718" s="90"/>
      <c r="N718" s="90"/>
      <c r="O718" s="90"/>
    </row>
    <row r="719" spans="4:15">
      <c r="D719" s="90"/>
      <c r="E719" s="90"/>
      <c r="F719" s="90"/>
      <c r="G719" s="90"/>
      <c r="H719" s="90"/>
      <c r="I719" s="90"/>
      <c r="J719" s="90"/>
      <c r="K719" s="90"/>
      <c r="L719" s="90"/>
      <c r="M719" s="90"/>
      <c r="N719" s="90"/>
      <c r="O719" s="90"/>
    </row>
    <row r="720" spans="4:15">
      <c r="D720" s="90"/>
      <c r="E720" s="90"/>
      <c r="F720" s="90"/>
      <c r="G720" s="90"/>
      <c r="H720" s="90"/>
      <c r="I720" s="90"/>
      <c r="J720" s="90"/>
      <c r="K720" s="90"/>
      <c r="L720" s="90"/>
      <c r="M720" s="90"/>
      <c r="N720" s="90"/>
      <c r="O720" s="90"/>
    </row>
    <row r="721" spans="4:15">
      <c r="D721" s="90"/>
      <c r="E721" s="90"/>
      <c r="F721" s="90"/>
      <c r="G721" s="90"/>
      <c r="H721" s="90"/>
      <c r="I721" s="90"/>
      <c r="J721" s="90"/>
      <c r="K721" s="90"/>
      <c r="L721" s="90"/>
      <c r="M721" s="90"/>
      <c r="N721" s="90"/>
      <c r="O721" s="90"/>
    </row>
    <row r="722" spans="4:15">
      <c r="D722" s="90"/>
      <c r="E722" s="90"/>
      <c r="F722" s="90"/>
      <c r="G722" s="90"/>
      <c r="H722" s="90"/>
      <c r="I722" s="90"/>
      <c r="J722" s="90"/>
      <c r="K722" s="90"/>
      <c r="L722" s="90"/>
      <c r="M722" s="90"/>
      <c r="N722" s="90"/>
      <c r="O722" s="90"/>
    </row>
    <row r="723" spans="4:15">
      <c r="D723" s="90"/>
      <c r="E723" s="90"/>
      <c r="F723" s="90"/>
      <c r="G723" s="90"/>
      <c r="H723" s="90"/>
      <c r="I723" s="90"/>
      <c r="J723" s="90"/>
      <c r="K723" s="90"/>
      <c r="L723" s="90"/>
      <c r="M723" s="90"/>
      <c r="N723" s="90"/>
      <c r="O723" s="90"/>
    </row>
    <row r="724" spans="4:15">
      <c r="D724" s="90"/>
      <c r="E724" s="90"/>
      <c r="F724" s="90"/>
      <c r="G724" s="90"/>
      <c r="H724" s="90"/>
      <c r="I724" s="90"/>
      <c r="J724" s="90"/>
      <c r="K724" s="90"/>
      <c r="L724" s="90"/>
      <c r="M724" s="90"/>
      <c r="N724" s="90"/>
      <c r="O724" s="90"/>
    </row>
    <row r="725" spans="4:15">
      <c r="D725" s="90"/>
      <c r="E725" s="90"/>
      <c r="F725" s="90"/>
      <c r="G725" s="90"/>
      <c r="H725" s="90"/>
      <c r="I725" s="90"/>
      <c r="J725" s="90"/>
      <c r="K725" s="90"/>
      <c r="L725" s="90"/>
      <c r="M725" s="90"/>
      <c r="N725" s="90"/>
      <c r="O725" s="90"/>
    </row>
    <row r="726" spans="4:15">
      <c r="D726" s="90"/>
      <c r="E726" s="90"/>
      <c r="F726" s="90"/>
      <c r="G726" s="90"/>
      <c r="H726" s="90"/>
      <c r="I726" s="90"/>
      <c r="J726" s="90"/>
      <c r="K726" s="90"/>
      <c r="L726" s="90"/>
      <c r="M726" s="90"/>
      <c r="N726" s="90"/>
      <c r="O726" s="90"/>
    </row>
    <row r="727" spans="4:15">
      <c r="D727" s="90"/>
      <c r="E727" s="90"/>
      <c r="F727" s="90"/>
      <c r="G727" s="90"/>
      <c r="H727" s="90"/>
      <c r="I727" s="90"/>
      <c r="J727" s="90"/>
      <c r="K727" s="90"/>
      <c r="L727" s="90"/>
      <c r="M727" s="90"/>
      <c r="N727" s="90"/>
      <c r="O727" s="90"/>
    </row>
    <row r="728" spans="4:15">
      <c r="D728" s="90"/>
      <c r="E728" s="90"/>
      <c r="F728" s="90"/>
      <c r="G728" s="90"/>
      <c r="H728" s="90"/>
      <c r="I728" s="90"/>
      <c r="J728" s="90"/>
      <c r="K728" s="90"/>
      <c r="L728" s="90"/>
      <c r="M728" s="90"/>
      <c r="N728" s="90"/>
      <c r="O728" s="90"/>
    </row>
    <row r="729" spans="4:15">
      <c r="D729" s="90"/>
      <c r="E729" s="90"/>
      <c r="F729" s="90"/>
      <c r="G729" s="90"/>
      <c r="H729" s="90"/>
      <c r="I729" s="90"/>
      <c r="J729" s="90"/>
      <c r="K729" s="90"/>
      <c r="L729" s="90"/>
      <c r="M729" s="90"/>
      <c r="N729" s="90"/>
      <c r="O729" s="90"/>
    </row>
    <row r="730" spans="4:15">
      <c r="D730" s="90"/>
      <c r="E730" s="90"/>
      <c r="F730" s="90"/>
      <c r="G730" s="90"/>
      <c r="H730" s="90"/>
      <c r="I730" s="90"/>
      <c r="J730" s="90"/>
      <c r="K730" s="90"/>
      <c r="L730" s="90"/>
      <c r="M730" s="90"/>
      <c r="N730" s="90"/>
      <c r="O730" s="90"/>
    </row>
    <row r="731" spans="4:15">
      <c r="D731" s="90"/>
      <c r="E731" s="90"/>
      <c r="F731" s="90"/>
      <c r="G731" s="90"/>
      <c r="H731" s="90"/>
      <c r="I731" s="90"/>
      <c r="J731" s="90"/>
      <c r="K731" s="90"/>
      <c r="L731" s="90"/>
      <c r="M731" s="90"/>
      <c r="N731" s="90"/>
      <c r="O731" s="90"/>
    </row>
    <row r="732" spans="4:15">
      <c r="D732" s="90"/>
      <c r="E732" s="90"/>
      <c r="F732" s="90"/>
      <c r="G732" s="90"/>
      <c r="H732" s="90"/>
      <c r="I732" s="90"/>
      <c r="J732" s="90"/>
      <c r="K732" s="90"/>
      <c r="L732" s="90"/>
      <c r="M732" s="90"/>
      <c r="N732" s="90"/>
      <c r="O732" s="90"/>
    </row>
    <row r="733" spans="4:15">
      <c r="D733" s="90"/>
      <c r="E733" s="90"/>
      <c r="F733" s="90"/>
      <c r="G733" s="90"/>
      <c r="H733" s="90"/>
      <c r="I733" s="90"/>
      <c r="J733" s="90"/>
      <c r="K733" s="90"/>
      <c r="L733" s="90"/>
      <c r="M733" s="90"/>
      <c r="N733" s="90"/>
      <c r="O733" s="90"/>
    </row>
    <row r="734" spans="4:15">
      <c r="D734" s="90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</row>
    <row r="735" spans="4:15">
      <c r="D735" s="90"/>
      <c r="E735" s="90"/>
      <c r="F735" s="90"/>
      <c r="G735" s="90"/>
      <c r="H735" s="90"/>
      <c r="I735" s="90"/>
      <c r="J735" s="90"/>
      <c r="K735" s="90"/>
      <c r="L735" s="90"/>
      <c r="M735" s="90"/>
      <c r="N735" s="90"/>
      <c r="O735" s="90"/>
    </row>
    <row r="736" spans="4:15">
      <c r="D736" s="90"/>
      <c r="E736" s="90"/>
      <c r="F736" s="90"/>
      <c r="G736" s="90"/>
      <c r="H736" s="90"/>
      <c r="I736" s="90"/>
      <c r="J736" s="90"/>
      <c r="K736" s="90"/>
      <c r="L736" s="90"/>
      <c r="M736" s="90"/>
      <c r="N736" s="90"/>
      <c r="O736" s="90"/>
    </row>
    <row r="737" spans="4:15">
      <c r="D737" s="90"/>
      <c r="E737" s="90"/>
      <c r="F737" s="90"/>
      <c r="G737" s="90"/>
      <c r="H737" s="90"/>
      <c r="I737" s="90"/>
      <c r="J737" s="90"/>
      <c r="K737" s="90"/>
      <c r="L737" s="90"/>
      <c r="M737" s="90"/>
      <c r="N737" s="90"/>
      <c r="O737" s="90"/>
    </row>
    <row r="738" spans="4:15">
      <c r="D738" s="90"/>
      <c r="E738" s="90"/>
      <c r="F738" s="90"/>
      <c r="G738" s="90"/>
      <c r="H738" s="90"/>
      <c r="I738" s="90"/>
      <c r="J738" s="90"/>
      <c r="K738" s="90"/>
      <c r="L738" s="90"/>
      <c r="M738" s="90"/>
      <c r="N738" s="90"/>
      <c r="O738" s="90"/>
    </row>
    <row r="739" spans="4:15">
      <c r="D739" s="90"/>
      <c r="E739" s="90"/>
      <c r="F739" s="90"/>
      <c r="G739" s="90"/>
      <c r="H739" s="90"/>
      <c r="I739" s="90"/>
      <c r="J739" s="90"/>
      <c r="K739" s="90"/>
      <c r="L739" s="90"/>
      <c r="M739" s="90"/>
      <c r="N739" s="90"/>
      <c r="O739" s="90"/>
    </row>
    <row r="740" spans="4:15">
      <c r="D740" s="90"/>
      <c r="E740" s="90"/>
      <c r="F740" s="90"/>
      <c r="G740" s="90"/>
      <c r="H740" s="90"/>
      <c r="I740" s="90"/>
      <c r="J740" s="90"/>
      <c r="K740" s="90"/>
      <c r="L740" s="90"/>
      <c r="M740" s="90"/>
      <c r="N740" s="90"/>
      <c r="O740" s="90"/>
    </row>
    <row r="741" spans="4:15">
      <c r="D741" s="90"/>
      <c r="E741" s="90"/>
      <c r="F741" s="90"/>
      <c r="G741" s="90"/>
      <c r="H741" s="90"/>
      <c r="I741" s="90"/>
      <c r="J741" s="90"/>
      <c r="K741" s="90"/>
      <c r="L741" s="90"/>
      <c r="M741" s="90"/>
      <c r="N741" s="90"/>
      <c r="O741" s="90"/>
    </row>
    <row r="742" spans="4:15">
      <c r="D742" s="90"/>
      <c r="E742" s="90"/>
      <c r="F742" s="90"/>
      <c r="G742" s="90"/>
      <c r="H742" s="90"/>
      <c r="I742" s="90"/>
      <c r="J742" s="90"/>
      <c r="K742" s="90"/>
      <c r="L742" s="90"/>
      <c r="M742" s="90"/>
      <c r="N742" s="90"/>
      <c r="O742" s="90"/>
    </row>
    <row r="743" spans="4:15">
      <c r="D743" s="90"/>
      <c r="E743" s="90"/>
      <c r="F743" s="90"/>
      <c r="G743" s="90"/>
      <c r="H743" s="90"/>
      <c r="I743" s="90"/>
      <c r="J743" s="90"/>
      <c r="K743" s="90"/>
      <c r="L743" s="90"/>
      <c r="M743" s="90"/>
      <c r="N743" s="90"/>
      <c r="O743" s="90"/>
    </row>
    <row r="744" spans="4:15">
      <c r="D744" s="90"/>
      <c r="E744" s="90"/>
      <c r="F744" s="90"/>
      <c r="G744" s="90"/>
      <c r="H744" s="90"/>
      <c r="I744" s="90"/>
      <c r="J744" s="90"/>
      <c r="K744" s="90"/>
      <c r="L744" s="90"/>
      <c r="M744" s="90"/>
      <c r="N744" s="90"/>
      <c r="O744" s="90"/>
    </row>
    <row r="745" spans="4:15">
      <c r="D745" s="90"/>
      <c r="E745" s="90"/>
      <c r="F745" s="90"/>
      <c r="G745" s="90"/>
      <c r="H745" s="90"/>
      <c r="I745" s="90"/>
      <c r="J745" s="90"/>
      <c r="K745" s="90"/>
      <c r="L745" s="90"/>
      <c r="M745" s="90"/>
      <c r="N745" s="90"/>
      <c r="O745" s="90"/>
    </row>
    <row r="746" spans="4:15">
      <c r="D746" s="90"/>
      <c r="E746" s="90"/>
      <c r="F746" s="90"/>
      <c r="G746" s="90"/>
      <c r="H746" s="90"/>
      <c r="I746" s="90"/>
      <c r="J746" s="90"/>
      <c r="K746" s="90"/>
      <c r="L746" s="90"/>
      <c r="M746" s="90"/>
      <c r="N746" s="90"/>
      <c r="O746" s="90"/>
    </row>
    <row r="747" spans="4:15">
      <c r="D747" s="90"/>
      <c r="E747" s="90"/>
      <c r="F747" s="90"/>
      <c r="G747" s="90"/>
      <c r="H747" s="90"/>
      <c r="I747" s="90"/>
      <c r="J747" s="90"/>
      <c r="K747" s="90"/>
      <c r="L747" s="90"/>
      <c r="M747" s="90"/>
      <c r="N747" s="90"/>
      <c r="O747" s="90"/>
    </row>
    <row r="748" spans="4:15">
      <c r="D748" s="90"/>
      <c r="E748" s="90"/>
      <c r="F748" s="90"/>
      <c r="G748" s="90"/>
      <c r="H748" s="90"/>
      <c r="I748" s="90"/>
      <c r="J748" s="90"/>
      <c r="K748" s="90"/>
      <c r="L748" s="90"/>
      <c r="M748" s="90"/>
      <c r="N748" s="90"/>
      <c r="O748" s="90"/>
    </row>
    <row r="749" spans="4:15">
      <c r="D749" s="90"/>
      <c r="E749" s="90"/>
      <c r="F749" s="90"/>
      <c r="G749" s="90"/>
      <c r="H749" s="90"/>
      <c r="I749" s="90"/>
      <c r="J749" s="90"/>
      <c r="K749" s="90"/>
      <c r="L749" s="90"/>
      <c r="M749" s="90"/>
      <c r="N749" s="90"/>
      <c r="O749" s="90"/>
    </row>
    <row r="750" spans="4:15">
      <c r="D750" s="90"/>
      <c r="E750" s="90"/>
      <c r="F750" s="90"/>
      <c r="G750" s="90"/>
      <c r="H750" s="90"/>
      <c r="I750" s="90"/>
      <c r="J750" s="90"/>
      <c r="K750" s="90"/>
      <c r="L750" s="90"/>
      <c r="M750" s="90"/>
      <c r="N750" s="90"/>
      <c r="O750" s="90"/>
    </row>
    <row r="751" spans="4:15">
      <c r="D751" s="90"/>
      <c r="E751" s="90"/>
      <c r="F751" s="90"/>
      <c r="G751" s="90"/>
      <c r="H751" s="90"/>
      <c r="I751" s="90"/>
      <c r="J751" s="90"/>
      <c r="K751" s="90"/>
      <c r="L751" s="90"/>
      <c r="M751" s="90"/>
      <c r="N751" s="90"/>
      <c r="O751" s="90"/>
    </row>
    <row r="752" spans="4:15">
      <c r="D752" s="90"/>
      <c r="E752" s="90"/>
      <c r="F752" s="90"/>
      <c r="G752" s="90"/>
      <c r="H752" s="90"/>
      <c r="I752" s="90"/>
      <c r="J752" s="90"/>
      <c r="K752" s="90"/>
      <c r="L752" s="90"/>
      <c r="M752" s="90"/>
      <c r="N752" s="90"/>
      <c r="O752" s="90"/>
    </row>
    <row r="753" spans="4:15">
      <c r="D753" s="90"/>
      <c r="E753" s="90"/>
      <c r="F753" s="90"/>
      <c r="G753" s="90"/>
      <c r="H753" s="90"/>
      <c r="I753" s="90"/>
      <c r="J753" s="90"/>
      <c r="K753" s="90"/>
      <c r="L753" s="90"/>
      <c r="M753" s="90"/>
      <c r="N753" s="90"/>
      <c r="O753" s="90"/>
    </row>
    <row r="754" spans="4:15">
      <c r="D754" s="90"/>
      <c r="E754" s="90"/>
      <c r="F754" s="90"/>
      <c r="G754" s="90"/>
      <c r="H754" s="90"/>
      <c r="I754" s="90"/>
      <c r="J754" s="90"/>
      <c r="K754" s="90"/>
      <c r="L754" s="90"/>
      <c r="M754" s="90"/>
      <c r="N754" s="90"/>
      <c r="O754" s="90"/>
    </row>
    <row r="755" spans="4:15">
      <c r="D755" s="90"/>
      <c r="E755" s="90"/>
      <c r="F755" s="90"/>
      <c r="G755" s="90"/>
      <c r="H755" s="90"/>
      <c r="I755" s="90"/>
      <c r="J755" s="90"/>
      <c r="K755" s="90"/>
      <c r="L755" s="90"/>
      <c r="M755" s="90"/>
      <c r="N755" s="90"/>
      <c r="O755" s="90"/>
    </row>
    <row r="756" spans="4:15">
      <c r="D756" s="90"/>
      <c r="E756" s="90"/>
      <c r="F756" s="90"/>
      <c r="G756" s="90"/>
      <c r="H756" s="90"/>
      <c r="I756" s="90"/>
      <c r="J756" s="90"/>
      <c r="K756" s="90"/>
      <c r="L756" s="90"/>
      <c r="M756" s="90"/>
      <c r="N756" s="90"/>
      <c r="O756" s="90"/>
    </row>
    <row r="757" spans="4:15">
      <c r="D757" s="90"/>
      <c r="E757" s="90"/>
      <c r="F757" s="90"/>
      <c r="G757" s="90"/>
      <c r="H757" s="90"/>
      <c r="I757" s="90"/>
      <c r="J757" s="90"/>
      <c r="K757" s="90"/>
      <c r="L757" s="90"/>
      <c r="M757" s="90"/>
      <c r="N757" s="90"/>
      <c r="O757" s="90"/>
    </row>
    <row r="758" spans="4:15">
      <c r="D758" s="90"/>
      <c r="E758" s="90"/>
      <c r="F758" s="90"/>
      <c r="G758" s="90"/>
      <c r="H758" s="90"/>
      <c r="I758" s="90"/>
      <c r="J758" s="90"/>
      <c r="K758" s="90"/>
      <c r="L758" s="90"/>
      <c r="M758" s="90"/>
      <c r="N758" s="90"/>
      <c r="O758" s="90"/>
    </row>
    <row r="759" spans="4:15">
      <c r="D759" s="90"/>
      <c r="E759" s="90"/>
      <c r="F759" s="90"/>
      <c r="G759" s="90"/>
      <c r="H759" s="90"/>
      <c r="I759" s="90"/>
      <c r="J759" s="90"/>
      <c r="K759" s="90"/>
      <c r="L759" s="90"/>
      <c r="M759" s="90"/>
      <c r="N759" s="90"/>
      <c r="O759" s="90"/>
    </row>
    <row r="760" spans="4:15">
      <c r="D760" s="90"/>
      <c r="E760" s="90"/>
      <c r="F760" s="90"/>
      <c r="G760" s="90"/>
      <c r="H760" s="90"/>
      <c r="I760" s="90"/>
      <c r="J760" s="90"/>
      <c r="K760" s="90"/>
      <c r="L760" s="90"/>
      <c r="M760" s="90"/>
      <c r="N760" s="90"/>
      <c r="O760" s="90"/>
    </row>
    <row r="761" spans="4:15">
      <c r="D761" s="90"/>
      <c r="E761" s="90"/>
      <c r="F761" s="90"/>
      <c r="G761" s="90"/>
      <c r="H761" s="90"/>
      <c r="I761" s="90"/>
      <c r="J761" s="90"/>
      <c r="K761" s="90"/>
      <c r="L761" s="90"/>
      <c r="M761" s="90"/>
      <c r="N761" s="90"/>
      <c r="O761" s="90"/>
    </row>
    <row r="762" spans="4:15">
      <c r="D762" s="90"/>
      <c r="E762" s="90"/>
      <c r="F762" s="90"/>
      <c r="G762" s="90"/>
      <c r="H762" s="90"/>
      <c r="I762" s="90"/>
      <c r="J762" s="90"/>
      <c r="K762" s="90"/>
      <c r="L762" s="90"/>
      <c r="M762" s="90"/>
      <c r="N762" s="90"/>
      <c r="O762" s="90"/>
    </row>
    <row r="763" spans="4:15">
      <c r="D763" s="90"/>
      <c r="E763" s="90"/>
      <c r="F763" s="90"/>
      <c r="G763" s="90"/>
      <c r="H763" s="90"/>
      <c r="I763" s="90"/>
      <c r="J763" s="90"/>
      <c r="K763" s="90"/>
      <c r="L763" s="90"/>
      <c r="M763" s="90"/>
      <c r="N763" s="90"/>
      <c r="O763" s="90"/>
    </row>
    <row r="764" spans="4:15">
      <c r="D764" s="90"/>
      <c r="E764" s="90"/>
      <c r="F764" s="90"/>
      <c r="G764" s="90"/>
      <c r="H764" s="90"/>
      <c r="I764" s="90"/>
      <c r="J764" s="90"/>
      <c r="K764" s="90"/>
      <c r="L764" s="90"/>
      <c r="M764" s="90"/>
      <c r="N764" s="90"/>
      <c r="O764" s="90"/>
    </row>
    <row r="765" spans="4:15">
      <c r="D765" s="90"/>
      <c r="E765" s="90"/>
      <c r="F765" s="90"/>
      <c r="G765" s="90"/>
      <c r="H765" s="90"/>
      <c r="I765" s="90"/>
      <c r="J765" s="90"/>
      <c r="K765" s="90"/>
      <c r="L765" s="90"/>
      <c r="M765" s="90"/>
      <c r="N765" s="90"/>
      <c r="O765" s="90"/>
    </row>
    <row r="766" spans="4:15">
      <c r="D766" s="90"/>
      <c r="E766" s="90"/>
      <c r="F766" s="90"/>
      <c r="G766" s="90"/>
      <c r="H766" s="90"/>
      <c r="I766" s="90"/>
      <c r="J766" s="90"/>
      <c r="K766" s="90"/>
      <c r="L766" s="90"/>
      <c r="M766" s="90"/>
      <c r="N766" s="90"/>
      <c r="O766" s="90"/>
    </row>
    <row r="767" spans="4:15">
      <c r="D767" s="90"/>
      <c r="E767" s="90"/>
      <c r="F767" s="90"/>
      <c r="G767" s="90"/>
      <c r="H767" s="90"/>
      <c r="I767" s="90"/>
      <c r="J767" s="90"/>
      <c r="K767" s="90"/>
      <c r="L767" s="90"/>
      <c r="M767" s="90"/>
      <c r="N767" s="90"/>
      <c r="O767" s="90"/>
    </row>
    <row r="768" spans="4:15">
      <c r="D768" s="90"/>
      <c r="E768" s="90"/>
      <c r="F768" s="90"/>
      <c r="G768" s="90"/>
      <c r="H768" s="90"/>
      <c r="I768" s="90"/>
      <c r="J768" s="90"/>
      <c r="K768" s="90"/>
      <c r="L768" s="90"/>
      <c r="M768" s="90"/>
      <c r="N768" s="90"/>
      <c r="O768" s="90"/>
    </row>
    <row r="769" spans="4:15">
      <c r="D769" s="90"/>
      <c r="E769" s="90"/>
      <c r="F769" s="90"/>
      <c r="G769" s="90"/>
      <c r="H769" s="90"/>
      <c r="I769" s="90"/>
      <c r="J769" s="90"/>
      <c r="K769" s="90"/>
      <c r="L769" s="90"/>
      <c r="M769" s="90"/>
      <c r="N769" s="90"/>
      <c r="O769" s="90"/>
    </row>
    <row r="770" spans="4:15">
      <c r="D770" s="90"/>
      <c r="E770" s="90"/>
      <c r="F770" s="90"/>
      <c r="G770" s="90"/>
      <c r="H770" s="90"/>
      <c r="I770" s="90"/>
      <c r="J770" s="90"/>
      <c r="K770" s="90"/>
      <c r="L770" s="90"/>
      <c r="M770" s="90"/>
      <c r="N770" s="90"/>
      <c r="O770" s="90"/>
    </row>
    <row r="771" spans="4:15">
      <c r="D771" s="90"/>
      <c r="E771" s="90"/>
      <c r="F771" s="90"/>
      <c r="G771" s="90"/>
      <c r="H771" s="90"/>
      <c r="I771" s="90"/>
      <c r="J771" s="90"/>
      <c r="K771" s="90"/>
      <c r="L771" s="90"/>
      <c r="M771" s="90"/>
      <c r="N771" s="90"/>
      <c r="O771" s="90"/>
    </row>
    <row r="772" spans="4:15">
      <c r="D772" s="90"/>
      <c r="E772" s="90"/>
      <c r="F772" s="90"/>
      <c r="G772" s="90"/>
      <c r="H772" s="90"/>
      <c r="I772" s="90"/>
      <c r="J772" s="90"/>
      <c r="K772" s="90"/>
      <c r="L772" s="90"/>
      <c r="M772" s="90"/>
      <c r="N772" s="90"/>
      <c r="O772" s="90"/>
    </row>
    <row r="773" spans="4:15">
      <c r="D773" s="90"/>
      <c r="E773" s="90"/>
      <c r="F773" s="90"/>
      <c r="G773" s="90"/>
      <c r="H773" s="90"/>
      <c r="I773" s="90"/>
      <c r="J773" s="90"/>
      <c r="K773" s="90"/>
      <c r="L773" s="90"/>
      <c r="M773" s="90"/>
      <c r="N773" s="90"/>
      <c r="O773" s="90"/>
    </row>
    <row r="774" spans="4:15">
      <c r="D774" s="90"/>
      <c r="E774" s="90"/>
      <c r="F774" s="90"/>
      <c r="G774" s="90"/>
      <c r="H774" s="90"/>
      <c r="I774" s="90"/>
      <c r="J774" s="90"/>
      <c r="K774" s="90"/>
      <c r="L774" s="90"/>
      <c r="M774" s="90"/>
      <c r="N774" s="90"/>
      <c r="O774" s="90"/>
    </row>
    <row r="775" spans="4:15">
      <c r="D775" s="90"/>
      <c r="E775" s="90"/>
      <c r="F775" s="90"/>
      <c r="G775" s="90"/>
      <c r="H775" s="90"/>
      <c r="I775" s="90"/>
      <c r="J775" s="90"/>
      <c r="K775" s="90"/>
      <c r="L775" s="90"/>
      <c r="M775" s="90"/>
      <c r="N775" s="90"/>
      <c r="O775" s="90"/>
    </row>
    <row r="776" spans="4:15">
      <c r="D776" s="90"/>
      <c r="E776" s="90"/>
      <c r="F776" s="90"/>
      <c r="G776" s="90"/>
      <c r="H776" s="90"/>
      <c r="I776" s="90"/>
      <c r="J776" s="90"/>
      <c r="K776" s="90"/>
      <c r="L776" s="90"/>
      <c r="M776" s="90"/>
      <c r="N776" s="90"/>
      <c r="O776" s="90"/>
    </row>
    <row r="777" spans="4:15">
      <c r="D777" s="90"/>
      <c r="E777" s="90"/>
      <c r="F777" s="90"/>
      <c r="G777" s="90"/>
      <c r="H777" s="90"/>
      <c r="I777" s="90"/>
      <c r="J777" s="90"/>
      <c r="K777" s="90"/>
      <c r="L777" s="90"/>
      <c r="M777" s="90"/>
      <c r="N777" s="90"/>
      <c r="O777" s="90"/>
    </row>
    <row r="778" spans="4:15">
      <c r="D778" s="90"/>
      <c r="E778" s="90"/>
      <c r="F778" s="90"/>
      <c r="G778" s="90"/>
      <c r="H778" s="90"/>
      <c r="I778" s="90"/>
      <c r="J778" s="90"/>
      <c r="K778" s="90"/>
      <c r="L778" s="90"/>
      <c r="M778" s="90"/>
      <c r="N778" s="90"/>
      <c r="O778" s="90"/>
    </row>
    <row r="779" spans="4:15">
      <c r="D779" s="90"/>
      <c r="E779" s="90"/>
      <c r="F779" s="90"/>
      <c r="G779" s="90"/>
      <c r="H779" s="90"/>
      <c r="I779" s="90"/>
      <c r="J779" s="90"/>
      <c r="K779" s="90"/>
      <c r="L779" s="90"/>
      <c r="M779" s="90"/>
      <c r="N779" s="90"/>
      <c r="O779" s="90"/>
    </row>
    <row r="780" spans="4:15">
      <c r="D780" s="90"/>
      <c r="E780" s="90"/>
      <c r="F780" s="90"/>
      <c r="G780" s="90"/>
      <c r="H780" s="90"/>
      <c r="I780" s="90"/>
      <c r="J780" s="90"/>
      <c r="K780" s="90"/>
      <c r="L780" s="90"/>
      <c r="M780" s="90"/>
      <c r="N780" s="90"/>
      <c r="O780" s="90"/>
    </row>
    <row r="781" spans="4:15">
      <c r="D781" s="90"/>
      <c r="E781" s="90"/>
      <c r="F781" s="90"/>
      <c r="G781" s="90"/>
      <c r="H781" s="90"/>
      <c r="I781" s="90"/>
      <c r="J781" s="90"/>
      <c r="K781" s="90"/>
      <c r="L781" s="90"/>
      <c r="M781" s="90"/>
      <c r="N781" s="90"/>
      <c r="O781" s="90"/>
    </row>
    <row r="782" spans="4:15">
      <c r="D782" s="90"/>
      <c r="E782" s="90"/>
      <c r="F782" s="90"/>
      <c r="G782" s="90"/>
      <c r="H782" s="90"/>
      <c r="I782" s="90"/>
      <c r="J782" s="90"/>
      <c r="K782" s="90"/>
      <c r="L782" s="90"/>
      <c r="M782" s="90"/>
      <c r="N782" s="90"/>
      <c r="O782" s="90"/>
    </row>
    <row r="783" spans="4:15">
      <c r="D783" s="90"/>
      <c r="E783" s="90"/>
      <c r="F783" s="90"/>
      <c r="G783" s="90"/>
      <c r="H783" s="90"/>
      <c r="I783" s="90"/>
      <c r="J783" s="90"/>
      <c r="K783" s="90"/>
      <c r="L783" s="90"/>
      <c r="M783" s="90"/>
      <c r="N783" s="90"/>
      <c r="O783" s="90"/>
    </row>
    <row r="784" spans="4:15">
      <c r="D784" s="90"/>
      <c r="E784" s="90"/>
      <c r="F784" s="90"/>
      <c r="G784" s="90"/>
      <c r="H784" s="90"/>
      <c r="I784" s="90"/>
      <c r="J784" s="90"/>
      <c r="K784" s="90"/>
      <c r="L784" s="90"/>
      <c r="M784" s="90"/>
      <c r="N784" s="90"/>
      <c r="O784" s="90"/>
    </row>
    <row r="785" spans="4:15">
      <c r="D785" s="90"/>
      <c r="E785" s="90"/>
      <c r="F785" s="90"/>
      <c r="G785" s="90"/>
      <c r="H785" s="90"/>
      <c r="I785" s="90"/>
      <c r="J785" s="90"/>
      <c r="K785" s="90"/>
      <c r="L785" s="90"/>
      <c r="M785" s="90"/>
      <c r="N785" s="90"/>
      <c r="O785" s="90"/>
    </row>
    <row r="786" spans="4:15">
      <c r="D786" s="90"/>
      <c r="E786" s="90"/>
      <c r="F786" s="90"/>
      <c r="G786" s="90"/>
      <c r="H786" s="90"/>
      <c r="I786" s="90"/>
      <c r="J786" s="90"/>
      <c r="K786" s="90"/>
      <c r="L786" s="90"/>
      <c r="M786" s="90"/>
      <c r="N786" s="90"/>
      <c r="O786" s="90"/>
    </row>
    <row r="787" spans="4:15">
      <c r="D787" s="90"/>
      <c r="E787" s="90"/>
      <c r="F787" s="90"/>
      <c r="G787" s="90"/>
      <c r="H787" s="90"/>
      <c r="I787" s="90"/>
      <c r="J787" s="90"/>
      <c r="K787" s="90"/>
      <c r="L787" s="90"/>
      <c r="M787" s="90"/>
      <c r="N787" s="90"/>
      <c r="O787" s="90"/>
    </row>
    <row r="788" spans="4:15">
      <c r="D788" s="90"/>
      <c r="E788" s="90"/>
      <c r="F788" s="90"/>
      <c r="G788" s="90"/>
      <c r="H788" s="90"/>
      <c r="I788" s="90"/>
      <c r="J788" s="90"/>
      <c r="K788" s="90"/>
      <c r="L788" s="90"/>
      <c r="M788" s="90"/>
      <c r="N788" s="90"/>
      <c r="O788" s="90"/>
    </row>
    <row r="789" spans="4:15">
      <c r="D789" s="90"/>
      <c r="E789" s="90"/>
      <c r="F789" s="90"/>
      <c r="G789" s="90"/>
      <c r="H789" s="90"/>
      <c r="I789" s="90"/>
      <c r="J789" s="90"/>
      <c r="K789" s="90"/>
      <c r="L789" s="90"/>
      <c r="M789" s="90"/>
      <c r="N789" s="90"/>
      <c r="O789" s="90"/>
    </row>
    <row r="790" spans="4:15">
      <c r="D790" s="90"/>
      <c r="E790" s="90"/>
      <c r="F790" s="90"/>
      <c r="G790" s="90"/>
      <c r="H790" s="90"/>
      <c r="I790" s="90"/>
      <c r="J790" s="90"/>
      <c r="K790" s="90"/>
      <c r="L790" s="90"/>
      <c r="M790" s="90"/>
      <c r="N790" s="90"/>
      <c r="O790" s="90"/>
    </row>
    <row r="791" spans="4:15">
      <c r="D791" s="90"/>
      <c r="E791" s="90"/>
      <c r="F791" s="90"/>
      <c r="G791" s="90"/>
      <c r="H791" s="90"/>
      <c r="I791" s="90"/>
      <c r="J791" s="90"/>
      <c r="K791" s="90"/>
      <c r="L791" s="90"/>
      <c r="M791" s="90"/>
      <c r="N791" s="90"/>
      <c r="O791" s="90"/>
    </row>
    <row r="792" spans="4:15">
      <c r="D792" s="90"/>
      <c r="E792" s="90"/>
      <c r="F792" s="90"/>
      <c r="G792" s="90"/>
      <c r="H792" s="90"/>
      <c r="I792" s="90"/>
      <c r="J792" s="90"/>
      <c r="K792" s="90"/>
      <c r="L792" s="90"/>
      <c r="M792" s="90"/>
      <c r="N792" s="90"/>
      <c r="O792" s="90"/>
    </row>
    <row r="793" spans="4:15">
      <c r="D793" s="90"/>
      <c r="E793" s="90"/>
      <c r="F793" s="90"/>
      <c r="G793" s="90"/>
      <c r="H793" s="90"/>
      <c r="I793" s="90"/>
      <c r="J793" s="90"/>
      <c r="K793" s="90"/>
      <c r="L793" s="90"/>
      <c r="M793" s="90"/>
      <c r="N793" s="90"/>
      <c r="O793" s="90"/>
    </row>
    <row r="794" spans="4:15">
      <c r="D794" s="90"/>
      <c r="E794" s="90"/>
      <c r="F794" s="90"/>
      <c r="G794" s="90"/>
      <c r="H794" s="90"/>
      <c r="I794" s="90"/>
      <c r="J794" s="90"/>
      <c r="K794" s="90"/>
      <c r="L794" s="90"/>
      <c r="M794" s="90"/>
      <c r="N794" s="90"/>
      <c r="O794" s="90"/>
    </row>
    <row r="795" spans="4:15">
      <c r="D795" s="90"/>
      <c r="E795" s="90"/>
      <c r="F795" s="90"/>
      <c r="G795" s="90"/>
      <c r="H795" s="90"/>
      <c r="I795" s="90"/>
      <c r="J795" s="90"/>
      <c r="K795" s="90"/>
      <c r="L795" s="90"/>
      <c r="M795" s="90"/>
      <c r="N795" s="90"/>
      <c r="O795" s="90"/>
    </row>
    <row r="796" spans="4:15">
      <c r="D796" s="90"/>
      <c r="E796" s="90"/>
      <c r="F796" s="90"/>
      <c r="G796" s="90"/>
      <c r="H796" s="90"/>
      <c r="I796" s="90"/>
      <c r="J796" s="90"/>
      <c r="K796" s="90"/>
      <c r="L796" s="90"/>
      <c r="M796" s="90"/>
      <c r="N796" s="90"/>
      <c r="O796" s="90"/>
    </row>
    <row r="797" spans="4:15">
      <c r="D797" s="90"/>
      <c r="E797" s="90"/>
      <c r="F797" s="90"/>
      <c r="G797" s="90"/>
      <c r="H797" s="90"/>
      <c r="I797" s="90"/>
      <c r="J797" s="90"/>
      <c r="K797" s="90"/>
      <c r="L797" s="90"/>
      <c r="M797" s="90"/>
      <c r="N797" s="90"/>
      <c r="O797" s="90"/>
    </row>
    <row r="798" spans="4:15">
      <c r="D798" s="90"/>
      <c r="E798" s="90"/>
      <c r="F798" s="90"/>
      <c r="G798" s="90"/>
      <c r="H798" s="90"/>
      <c r="I798" s="90"/>
      <c r="J798" s="90"/>
      <c r="K798" s="90"/>
      <c r="L798" s="90"/>
      <c r="M798" s="90"/>
      <c r="N798" s="90"/>
      <c r="O798" s="90"/>
    </row>
    <row r="799" spans="4:15">
      <c r="D799" s="90"/>
      <c r="E799" s="90"/>
      <c r="F799" s="90"/>
      <c r="G799" s="90"/>
      <c r="H799" s="90"/>
      <c r="I799" s="90"/>
      <c r="J799" s="90"/>
      <c r="K799" s="90"/>
      <c r="L799" s="90"/>
      <c r="M799" s="90"/>
      <c r="N799" s="90"/>
      <c r="O799" s="90"/>
    </row>
    <row r="800" spans="4:15">
      <c r="D800" s="90"/>
      <c r="E800" s="90"/>
      <c r="F800" s="90"/>
      <c r="G800" s="90"/>
      <c r="H800" s="90"/>
      <c r="I800" s="90"/>
      <c r="J800" s="90"/>
      <c r="K800" s="90"/>
      <c r="L800" s="90"/>
      <c r="M800" s="90"/>
      <c r="N800" s="90"/>
      <c r="O800" s="90"/>
    </row>
    <row r="801" spans="4:15">
      <c r="D801" s="90"/>
      <c r="E801" s="90"/>
      <c r="F801" s="90"/>
      <c r="G801" s="90"/>
      <c r="H801" s="90"/>
      <c r="I801" s="90"/>
      <c r="J801" s="90"/>
      <c r="K801" s="90"/>
      <c r="L801" s="90"/>
      <c r="M801" s="90"/>
      <c r="N801" s="90"/>
      <c r="O801" s="90"/>
    </row>
    <row r="802" spans="4:15">
      <c r="D802" s="90"/>
      <c r="E802" s="90"/>
      <c r="F802" s="90"/>
      <c r="G802" s="90"/>
      <c r="H802" s="90"/>
      <c r="I802" s="90"/>
      <c r="J802" s="90"/>
      <c r="K802" s="90"/>
      <c r="L802" s="90"/>
      <c r="M802" s="90"/>
      <c r="N802" s="90"/>
      <c r="O802" s="90"/>
    </row>
    <row r="803" spans="4:15">
      <c r="D803" s="90"/>
      <c r="E803" s="90"/>
      <c r="F803" s="90"/>
      <c r="G803" s="90"/>
      <c r="H803" s="90"/>
      <c r="I803" s="90"/>
      <c r="J803" s="90"/>
      <c r="K803" s="90"/>
      <c r="L803" s="90"/>
      <c r="M803" s="90"/>
      <c r="N803" s="90"/>
      <c r="O803" s="90"/>
    </row>
    <row r="804" spans="4:15">
      <c r="D804" s="90"/>
      <c r="E804" s="90"/>
      <c r="F804" s="90"/>
      <c r="G804" s="90"/>
      <c r="H804" s="90"/>
      <c r="I804" s="90"/>
      <c r="J804" s="90"/>
      <c r="K804" s="90"/>
      <c r="L804" s="90"/>
      <c r="M804" s="90"/>
      <c r="N804" s="90"/>
      <c r="O804" s="90"/>
    </row>
    <row r="805" spans="4:15">
      <c r="D805" s="90"/>
      <c r="E805" s="90"/>
      <c r="F805" s="90"/>
      <c r="G805" s="90"/>
      <c r="H805" s="90"/>
      <c r="I805" s="90"/>
      <c r="J805" s="90"/>
      <c r="K805" s="90"/>
      <c r="L805" s="90"/>
      <c r="M805" s="90"/>
      <c r="N805" s="90"/>
      <c r="O805" s="90"/>
    </row>
    <row r="806" spans="4:15">
      <c r="D806" s="90"/>
      <c r="E806" s="90"/>
      <c r="F806" s="90"/>
      <c r="G806" s="90"/>
      <c r="H806" s="90"/>
      <c r="I806" s="90"/>
      <c r="J806" s="90"/>
      <c r="K806" s="90"/>
      <c r="L806" s="90"/>
      <c r="M806" s="90"/>
      <c r="N806" s="90"/>
      <c r="O806" s="90"/>
    </row>
    <row r="807" spans="4:15">
      <c r="D807" s="90"/>
      <c r="E807" s="90"/>
      <c r="F807" s="90"/>
      <c r="G807" s="90"/>
      <c r="H807" s="90"/>
      <c r="I807" s="90"/>
      <c r="J807" s="90"/>
      <c r="K807" s="90"/>
      <c r="L807" s="90"/>
      <c r="M807" s="90"/>
      <c r="N807" s="90"/>
      <c r="O807" s="90"/>
    </row>
    <row r="808" spans="4:15">
      <c r="D808" s="90"/>
      <c r="E808" s="90"/>
      <c r="F808" s="90"/>
      <c r="G808" s="90"/>
      <c r="H808" s="90"/>
      <c r="I808" s="90"/>
      <c r="J808" s="90"/>
      <c r="K808" s="90"/>
      <c r="L808" s="90"/>
      <c r="M808" s="90"/>
      <c r="N808" s="90"/>
      <c r="O808" s="90"/>
    </row>
    <row r="809" spans="4:15">
      <c r="D809" s="90"/>
      <c r="E809" s="90"/>
      <c r="F809" s="90"/>
      <c r="G809" s="90"/>
      <c r="H809" s="90"/>
      <c r="I809" s="90"/>
      <c r="J809" s="90"/>
      <c r="K809" s="90"/>
      <c r="L809" s="90"/>
      <c r="M809" s="90"/>
      <c r="N809" s="90"/>
      <c r="O809" s="90"/>
    </row>
    <row r="810" spans="4:15">
      <c r="D810" s="90"/>
      <c r="E810" s="90"/>
      <c r="F810" s="90"/>
      <c r="G810" s="90"/>
      <c r="H810" s="90"/>
      <c r="I810" s="90"/>
      <c r="J810" s="90"/>
      <c r="K810" s="90"/>
      <c r="L810" s="90"/>
      <c r="M810" s="90"/>
      <c r="N810" s="90"/>
      <c r="O810" s="90"/>
    </row>
    <row r="811" spans="4:15">
      <c r="D811" s="90"/>
      <c r="E811" s="90"/>
      <c r="F811" s="90"/>
      <c r="G811" s="90"/>
      <c r="H811" s="90"/>
      <c r="I811" s="90"/>
      <c r="J811" s="90"/>
      <c r="K811" s="90"/>
      <c r="L811" s="90"/>
      <c r="M811" s="90"/>
      <c r="N811" s="90"/>
      <c r="O811" s="90"/>
    </row>
    <row r="812" spans="4:15">
      <c r="D812" s="90"/>
      <c r="E812" s="90"/>
      <c r="F812" s="90"/>
      <c r="G812" s="90"/>
      <c r="H812" s="90"/>
      <c r="I812" s="90"/>
      <c r="J812" s="90"/>
      <c r="K812" s="90"/>
      <c r="L812" s="90"/>
      <c r="M812" s="90"/>
      <c r="N812" s="90"/>
      <c r="O812" s="90"/>
    </row>
    <row r="813" spans="4:15">
      <c r="D813" s="90"/>
      <c r="E813" s="90"/>
      <c r="F813" s="90"/>
      <c r="G813" s="90"/>
      <c r="H813" s="90"/>
      <c r="I813" s="90"/>
      <c r="J813" s="90"/>
      <c r="K813" s="90"/>
      <c r="L813" s="90"/>
      <c r="M813" s="90"/>
      <c r="N813" s="90"/>
      <c r="O813" s="90"/>
    </row>
    <row r="814" spans="4:15">
      <c r="D814" s="90"/>
      <c r="E814" s="90"/>
      <c r="F814" s="90"/>
      <c r="G814" s="90"/>
      <c r="H814" s="90"/>
      <c r="I814" s="90"/>
      <c r="J814" s="90"/>
      <c r="K814" s="90"/>
      <c r="L814" s="90"/>
      <c r="M814" s="90"/>
      <c r="N814" s="90"/>
      <c r="O814" s="90"/>
    </row>
    <row r="815" spans="4:15">
      <c r="D815" s="90"/>
      <c r="E815" s="90"/>
      <c r="F815" s="90"/>
      <c r="G815" s="90"/>
      <c r="H815" s="90"/>
      <c r="I815" s="90"/>
      <c r="J815" s="90"/>
      <c r="K815" s="90"/>
      <c r="L815" s="90"/>
      <c r="M815" s="90"/>
      <c r="N815" s="90"/>
      <c r="O815" s="90"/>
    </row>
    <row r="816" spans="4:15">
      <c r="D816" s="90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</row>
    <row r="817" spans="4:15">
      <c r="D817" s="90"/>
      <c r="E817" s="90"/>
      <c r="F817" s="90"/>
      <c r="G817" s="90"/>
      <c r="H817" s="90"/>
      <c r="I817" s="90"/>
      <c r="J817" s="90"/>
      <c r="K817" s="90"/>
      <c r="L817" s="90"/>
      <c r="M817" s="90"/>
      <c r="N817" s="90"/>
      <c r="O817" s="90"/>
    </row>
    <row r="818" spans="4:15">
      <c r="D818" s="90"/>
      <c r="E818" s="90"/>
      <c r="F818" s="90"/>
      <c r="G818" s="90"/>
      <c r="H818" s="90"/>
      <c r="I818" s="90"/>
      <c r="J818" s="90"/>
      <c r="K818" s="90"/>
      <c r="L818" s="90"/>
      <c r="M818" s="90"/>
      <c r="N818" s="90"/>
      <c r="O818" s="90"/>
    </row>
    <row r="819" spans="4:15">
      <c r="D819" s="90"/>
      <c r="E819" s="90"/>
      <c r="F819" s="90"/>
      <c r="G819" s="90"/>
      <c r="H819" s="90"/>
      <c r="I819" s="90"/>
      <c r="J819" s="90"/>
      <c r="K819" s="90"/>
      <c r="L819" s="90"/>
      <c r="M819" s="90"/>
      <c r="N819" s="90"/>
      <c r="O819" s="90"/>
    </row>
    <row r="820" spans="4:15">
      <c r="D820" s="90"/>
      <c r="E820" s="90"/>
      <c r="F820" s="90"/>
      <c r="G820" s="90"/>
      <c r="H820" s="90"/>
      <c r="I820" s="90"/>
      <c r="J820" s="90"/>
      <c r="K820" s="90"/>
      <c r="L820" s="90"/>
      <c r="M820" s="90"/>
      <c r="N820" s="90"/>
      <c r="O820" s="90"/>
    </row>
    <row r="821" spans="4:15">
      <c r="D821" s="90"/>
      <c r="E821" s="90"/>
      <c r="F821" s="90"/>
      <c r="G821" s="90"/>
      <c r="H821" s="90"/>
      <c r="I821" s="90"/>
      <c r="J821" s="90"/>
      <c r="K821" s="90"/>
      <c r="L821" s="90"/>
      <c r="M821" s="90"/>
      <c r="N821" s="90"/>
      <c r="O821" s="90"/>
    </row>
    <row r="822" spans="4:15">
      <c r="D822" s="90"/>
      <c r="E822" s="90"/>
      <c r="F822" s="90"/>
      <c r="G822" s="90"/>
      <c r="H822" s="90"/>
      <c r="I822" s="90"/>
      <c r="J822" s="90"/>
      <c r="K822" s="90"/>
      <c r="L822" s="90"/>
      <c r="M822" s="90"/>
      <c r="N822" s="90"/>
      <c r="O822" s="90"/>
    </row>
    <row r="823" spans="4:15">
      <c r="D823" s="90"/>
      <c r="E823" s="90"/>
      <c r="F823" s="90"/>
      <c r="G823" s="90"/>
      <c r="H823" s="90"/>
      <c r="I823" s="90"/>
      <c r="J823" s="90"/>
      <c r="K823" s="90"/>
      <c r="L823" s="90"/>
      <c r="M823" s="90"/>
      <c r="N823" s="90"/>
      <c r="O823" s="90"/>
    </row>
    <row r="824" spans="4:15">
      <c r="D824" s="90"/>
      <c r="E824" s="90"/>
      <c r="F824" s="90"/>
      <c r="G824" s="90"/>
      <c r="H824" s="90"/>
      <c r="I824" s="90"/>
      <c r="J824" s="90"/>
      <c r="K824" s="90"/>
      <c r="L824" s="90"/>
      <c r="M824" s="90"/>
      <c r="N824" s="90"/>
      <c r="O824" s="90"/>
    </row>
    <row r="825" spans="4:15">
      <c r="D825" s="90"/>
      <c r="E825" s="90"/>
      <c r="F825" s="90"/>
      <c r="G825" s="90"/>
      <c r="H825" s="90"/>
      <c r="I825" s="90"/>
      <c r="J825" s="90"/>
      <c r="K825" s="90"/>
      <c r="L825" s="90"/>
      <c r="M825" s="90"/>
      <c r="N825" s="90"/>
      <c r="O825" s="90"/>
    </row>
    <row r="826" spans="4:15">
      <c r="D826" s="90"/>
      <c r="E826" s="90"/>
      <c r="F826" s="90"/>
      <c r="G826" s="90"/>
      <c r="H826" s="90"/>
      <c r="I826" s="90"/>
      <c r="J826" s="90"/>
      <c r="K826" s="90"/>
      <c r="L826" s="90"/>
      <c r="M826" s="90"/>
      <c r="N826" s="90"/>
      <c r="O826" s="90"/>
    </row>
    <row r="827" spans="4:15">
      <c r="D827" s="90"/>
      <c r="E827" s="90"/>
      <c r="F827" s="90"/>
      <c r="G827" s="90"/>
      <c r="H827" s="90"/>
      <c r="I827" s="90"/>
      <c r="J827" s="90"/>
      <c r="K827" s="90"/>
      <c r="L827" s="90"/>
      <c r="M827" s="90"/>
      <c r="N827" s="90"/>
      <c r="O827" s="90"/>
    </row>
    <row r="828" spans="4:15">
      <c r="D828" s="90"/>
      <c r="E828" s="90"/>
      <c r="F828" s="90"/>
      <c r="G828" s="90"/>
      <c r="H828" s="90"/>
      <c r="I828" s="90"/>
      <c r="J828" s="90"/>
      <c r="K828" s="90"/>
      <c r="L828" s="90"/>
      <c r="M828" s="90"/>
      <c r="N828" s="90"/>
      <c r="O828" s="90"/>
    </row>
    <row r="829" spans="4:15">
      <c r="D829" s="90"/>
      <c r="E829" s="90"/>
      <c r="F829" s="90"/>
      <c r="G829" s="90"/>
      <c r="H829" s="90"/>
      <c r="I829" s="90"/>
      <c r="J829" s="90"/>
      <c r="K829" s="90"/>
      <c r="L829" s="90"/>
      <c r="M829" s="90"/>
      <c r="N829" s="90"/>
      <c r="O829" s="90"/>
    </row>
    <row r="830" spans="4:15">
      <c r="D830" s="90"/>
      <c r="E830" s="90"/>
      <c r="F830" s="90"/>
      <c r="G830" s="90"/>
      <c r="H830" s="90"/>
      <c r="I830" s="90"/>
      <c r="J830" s="90"/>
      <c r="K830" s="90"/>
      <c r="L830" s="90"/>
      <c r="M830" s="90"/>
      <c r="N830" s="90"/>
      <c r="O830" s="90"/>
    </row>
    <row r="831" spans="4:15">
      <c r="D831" s="90"/>
      <c r="E831" s="90"/>
      <c r="F831" s="90"/>
      <c r="G831" s="90"/>
      <c r="H831" s="90"/>
      <c r="I831" s="90"/>
      <c r="J831" s="90"/>
      <c r="K831" s="90"/>
      <c r="L831" s="90"/>
      <c r="M831" s="90"/>
      <c r="N831" s="90"/>
      <c r="O831" s="90"/>
    </row>
    <row r="832" spans="4:15">
      <c r="D832" s="90"/>
      <c r="E832" s="90"/>
      <c r="F832" s="90"/>
      <c r="G832" s="90"/>
      <c r="H832" s="90"/>
      <c r="I832" s="90"/>
      <c r="J832" s="90"/>
      <c r="K832" s="90"/>
      <c r="L832" s="90"/>
      <c r="M832" s="90"/>
      <c r="N832" s="90"/>
      <c r="O832" s="90"/>
    </row>
    <row r="833" spans="4:15">
      <c r="D833" s="90"/>
      <c r="E833" s="90"/>
      <c r="F833" s="90"/>
      <c r="G833" s="90"/>
      <c r="H833" s="90"/>
      <c r="I833" s="90"/>
      <c r="J833" s="90"/>
      <c r="K833" s="90"/>
      <c r="L833" s="90"/>
      <c r="M833" s="90"/>
      <c r="N833" s="90"/>
      <c r="O833" s="90"/>
    </row>
    <row r="834" spans="4:15">
      <c r="D834" s="90"/>
      <c r="E834" s="90"/>
      <c r="F834" s="90"/>
      <c r="G834" s="90"/>
      <c r="H834" s="90"/>
      <c r="I834" s="90"/>
      <c r="J834" s="90"/>
      <c r="K834" s="90"/>
      <c r="L834" s="90"/>
      <c r="M834" s="90"/>
      <c r="N834" s="90"/>
      <c r="O834" s="90"/>
    </row>
    <row r="835" spans="4:15">
      <c r="D835" s="90"/>
      <c r="E835" s="90"/>
      <c r="F835" s="90"/>
      <c r="G835" s="90"/>
      <c r="H835" s="90"/>
      <c r="I835" s="90"/>
      <c r="J835" s="90"/>
      <c r="K835" s="90"/>
      <c r="L835" s="90"/>
      <c r="M835" s="90"/>
      <c r="N835" s="90"/>
      <c r="O835" s="90"/>
    </row>
    <row r="836" spans="4:15">
      <c r="D836" s="90"/>
      <c r="E836" s="90"/>
      <c r="F836" s="90"/>
      <c r="G836" s="90"/>
      <c r="H836" s="90"/>
      <c r="I836" s="90"/>
      <c r="J836" s="90"/>
      <c r="K836" s="90"/>
      <c r="L836" s="90"/>
      <c r="M836" s="90"/>
      <c r="N836" s="90"/>
      <c r="O836" s="90"/>
    </row>
    <row r="837" spans="4:15">
      <c r="D837" s="90"/>
      <c r="E837" s="90"/>
      <c r="F837" s="90"/>
      <c r="G837" s="90"/>
      <c r="H837" s="90"/>
      <c r="I837" s="90"/>
      <c r="J837" s="90"/>
      <c r="K837" s="90"/>
      <c r="L837" s="90"/>
      <c r="M837" s="90"/>
      <c r="N837" s="90"/>
      <c r="O837" s="90"/>
    </row>
    <row r="838" spans="4:15">
      <c r="D838" s="90"/>
      <c r="E838" s="90"/>
      <c r="F838" s="90"/>
      <c r="G838" s="90"/>
      <c r="H838" s="90"/>
      <c r="I838" s="90"/>
      <c r="J838" s="90"/>
      <c r="K838" s="90"/>
      <c r="L838" s="90"/>
      <c r="M838" s="90"/>
      <c r="N838" s="90"/>
      <c r="O838" s="90"/>
    </row>
    <row r="839" spans="4:15">
      <c r="D839" s="90"/>
      <c r="E839" s="90"/>
      <c r="F839" s="90"/>
      <c r="G839" s="90"/>
      <c r="H839" s="90"/>
      <c r="I839" s="90"/>
      <c r="J839" s="90"/>
      <c r="K839" s="90"/>
      <c r="L839" s="90"/>
      <c r="M839" s="90"/>
      <c r="N839" s="90"/>
      <c r="O839" s="90"/>
    </row>
    <row r="840" spans="4:15">
      <c r="D840" s="90"/>
      <c r="E840" s="90"/>
      <c r="F840" s="90"/>
      <c r="G840" s="90"/>
      <c r="H840" s="90"/>
      <c r="I840" s="90"/>
      <c r="J840" s="90"/>
      <c r="K840" s="90"/>
      <c r="L840" s="90"/>
      <c r="M840" s="90"/>
      <c r="N840" s="90"/>
      <c r="O840" s="90"/>
    </row>
    <row r="841" spans="4:15">
      <c r="D841" s="90"/>
      <c r="E841" s="90"/>
      <c r="F841" s="90"/>
      <c r="G841" s="90"/>
      <c r="H841" s="90"/>
      <c r="I841" s="90"/>
      <c r="J841" s="90"/>
      <c r="K841" s="90"/>
      <c r="L841" s="90"/>
      <c r="M841" s="90"/>
      <c r="N841" s="90"/>
      <c r="O841" s="90"/>
    </row>
    <row r="842" spans="4:15">
      <c r="D842" s="90"/>
      <c r="E842" s="90"/>
      <c r="F842" s="90"/>
      <c r="G842" s="90"/>
      <c r="H842" s="90"/>
      <c r="I842" s="90"/>
      <c r="J842" s="90"/>
      <c r="K842" s="90"/>
      <c r="L842" s="90"/>
      <c r="M842" s="90"/>
      <c r="N842" s="90"/>
      <c r="O842" s="90"/>
    </row>
    <row r="843" spans="4:15">
      <c r="D843" s="90"/>
      <c r="E843" s="90"/>
      <c r="F843" s="90"/>
      <c r="G843" s="90"/>
      <c r="H843" s="90"/>
      <c r="I843" s="90"/>
      <c r="J843" s="90"/>
      <c r="K843" s="90"/>
      <c r="L843" s="90"/>
      <c r="M843" s="90"/>
      <c r="N843" s="90"/>
      <c r="O843" s="90"/>
    </row>
    <row r="844" spans="4:15">
      <c r="D844" s="90"/>
      <c r="E844" s="90"/>
      <c r="F844" s="90"/>
      <c r="G844" s="90"/>
      <c r="H844" s="90"/>
      <c r="I844" s="90"/>
      <c r="J844" s="90"/>
      <c r="K844" s="90"/>
      <c r="L844" s="90"/>
      <c r="M844" s="90"/>
      <c r="N844" s="90"/>
      <c r="O844" s="90"/>
    </row>
    <row r="845" spans="4:15">
      <c r="D845" s="90"/>
      <c r="E845" s="90"/>
      <c r="F845" s="90"/>
      <c r="G845" s="90"/>
      <c r="H845" s="90"/>
      <c r="I845" s="90"/>
      <c r="J845" s="90"/>
      <c r="K845" s="90"/>
      <c r="L845" s="90"/>
      <c r="M845" s="90"/>
      <c r="N845" s="90"/>
      <c r="O845" s="90"/>
    </row>
    <row r="846" spans="4:15">
      <c r="D846" s="90"/>
      <c r="E846" s="90"/>
      <c r="F846" s="90"/>
      <c r="G846" s="90"/>
      <c r="H846" s="90"/>
      <c r="I846" s="90"/>
      <c r="J846" s="90"/>
      <c r="K846" s="90"/>
      <c r="L846" s="90"/>
      <c r="M846" s="90"/>
      <c r="N846" s="90"/>
      <c r="O846" s="90"/>
    </row>
    <row r="847" spans="4:15">
      <c r="D847" s="90"/>
      <c r="E847" s="90"/>
      <c r="F847" s="90"/>
      <c r="G847" s="90"/>
      <c r="H847" s="90"/>
      <c r="I847" s="90"/>
      <c r="J847" s="90"/>
      <c r="K847" s="90"/>
      <c r="L847" s="90"/>
      <c r="M847" s="90"/>
      <c r="N847" s="90"/>
      <c r="O847" s="90"/>
    </row>
    <row r="848" spans="4:15">
      <c r="D848" s="90"/>
      <c r="E848" s="90"/>
      <c r="F848" s="90"/>
      <c r="G848" s="90"/>
      <c r="H848" s="90"/>
      <c r="I848" s="90"/>
      <c r="J848" s="90"/>
      <c r="K848" s="90"/>
      <c r="L848" s="90"/>
      <c r="M848" s="90"/>
      <c r="N848" s="90"/>
      <c r="O848" s="90"/>
    </row>
    <row r="849" spans="4:15">
      <c r="D849" s="90"/>
      <c r="E849" s="90"/>
      <c r="F849" s="90"/>
      <c r="G849" s="90"/>
      <c r="H849" s="90"/>
      <c r="I849" s="90"/>
      <c r="J849" s="90"/>
      <c r="K849" s="90"/>
      <c r="L849" s="90"/>
      <c r="M849" s="90"/>
      <c r="N849" s="90"/>
      <c r="O849" s="90"/>
    </row>
    <row r="850" spans="4:15">
      <c r="D850" s="90"/>
      <c r="E850" s="90"/>
      <c r="F850" s="90"/>
      <c r="G850" s="90"/>
      <c r="H850" s="90"/>
      <c r="I850" s="90"/>
      <c r="J850" s="90"/>
      <c r="K850" s="90"/>
      <c r="L850" s="90"/>
      <c r="M850" s="90"/>
      <c r="N850" s="90"/>
      <c r="O850" s="90"/>
    </row>
    <row r="851" spans="4:15">
      <c r="D851" s="90"/>
      <c r="E851" s="90"/>
      <c r="F851" s="90"/>
      <c r="G851" s="90"/>
      <c r="H851" s="90"/>
      <c r="I851" s="90"/>
      <c r="J851" s="90"/>
      <c r="K851" s="90"/>
      <c r="L851" s="90"/>
      <c r="M851" s="90"/>
      <c r="N851" s="90"/>
      <c r="O851" s="90"/>
    </row>
    <row r="852" spans="4:15">
      <c r="D852" s="90"/>
      <c r="E852" s="90"/>
      <c r="F852" s="90"/>
      <c r="G852" s="90"/>
      <c r="H852" s="90"/>
      <c r="I852" s="90"/>
      <c r="J852" s="90"/>
      <c r="K852" s="90"/>
      <c r="L852" s="90"/>
      <c r="M852" s="90"/>
      <c r="N852" s="90"/>
      <c r="O852" s="90"/>
    </row>
    <row r="853" spans="4:15">
      <c r="D853" s="90"/>
      <c r="E853" s="90"/>
      <c r="F853" s="90"/>
      <c r="G853" s="90"/>
      <c r="H853" s="90"/>
      <c r="I853" s="90"/>
      <c r="J853" s="90"/>
      <c r="K853" s="90"/>
      <c r="L853" s="90"/>
      <c r="M853" s="90"/>
      <c r="N853" s="90"/>
      <c r="O853" s="90"/>
    </row>
    <row r="854" spans="4:15">
      <c r="D854" s="90"/>
      <c r="E854" s="90"/>
      <c r="F854" s="90"/>
      <c r="G854" s="90"/>
      <c r="H854" s="90"/>
      <c r="I854" s="90"/>
      <c r="J854" s="90"/>
      <c r="K854" s="90"/>
      <c r="L854" s="90"/>
      <c r="M854" s="90"/>
      <c r="N854" s="90"/>
      <c r="O854" s="90"/>
    </row>
    <row r="855" spans="4:15">
      <c r="D855" s="90"/>
      <c r="E855" s="90"/>
      <c r="F855" s="90"/>
      <c r="G855" s="90"/>
      <c r="H855" s="90"/>
      <c r="I855" s="90"/>
      <c r="J855" s="90"/>
      <c r="K855" s="90"/>
      <c r="L855" s="90"/>
      <c r="M855" s="90"/>
      <c r="N855" s="90"/>
      <c r="O855" s="90"/>
    </row>
    <row r="856" spans="4:15">
      <c r="D856" s="90"/>
      <c r="E856" s="90"/>
      <c r="F856" s="90"/>
      <c r="G856" s="90"/>
      <c r="H856" s="90"/>
      <c r="I856" s="90"/>
      <c r="J856" s="90"/>
      <c r="K856" s="90"/>
      <c r="L856" s="90"/>
      <c r="M856" s="90"/>
      <c r="N856" s="90"/>
      <c r="O856" s="90"/>
    </row>
    <row r="857" spans="4:15">
      <c r="D857" s="90"/>
      <c r="E857" s="90"/>
      <c r="F857" s="90"/>
      <c r="G857" s="90"/>
      <c r="H857" s="90"/>
      <c r="I857" s="90"/>
      <c r="J857" s="90"/>
      <c r="K857" s="90"/>
      <c r="L857" s="90"/>
      <c r="M857" s="90"/>
      <c r="N857" s="90"/>
      <c r="O857" s="90"/>
    </row>
    <row r="858" spans="4:15">
      <c r="D858" s="90"/>
      <c r="E858" s="90"/>
      <c r="F858" s="90"/>
      <c r="G858" s="90"/>
      <c r="H858" s="90"/>
      <c r="I858" s="90"/>
      <c r="J858" s="90"/>
      <c r="K858" s="90"/>
      <c r="L858" s="90"/>
      <c r="M858" s="90"/>
      <c r="N858" s="90"/>
      <c r="O858" s="90"/>
    </row>
    <row r="859" spans="4:15">
      <c r="D859" s="90"/>
      <c r="E859" s="90"/>
      <c r="F859" s="90"/>
      <c r="G859" s="90"/>
      <c r="H859" s="90"/>
      <c r="I859" s="90"/>
      <c r="J859" s="90"/>
      <c r="K859" s="90"/>
      <c r="L859" s="90"/>
      <c r="M859" s="90"/>
      <c r="N859" s="90"/>
      <c r="O859" s="90"/>
    </row>
    <row r="860" spans="4:15">
      <c r="D860" s="90"/>
      <c r="E860" s="90"/>
      <c r="F860" s="90"/>
      <c r="G860" s="90"/>
      <c r="H860" s="90"/>
      <c r="I860" s="90"/>
      <c r="J860" s="90"/>
      <c r="K860" s="90"/>
      <c r="L860" s="90"/>
      <c r="M860" s="90"/>
      <c r="N860" s="90"/>
      <c r="O860" s="90"/>
    </row>
    <row r="861" spans="4:15">
      <c r="D861" s="90"/>
      <c r="E861" s="90"/>
      <c r="F861" s="90"/>
      <c r="G861" s="90"/>
      <c r="H861" s="90"/>
      <c r="I861" s="90"/>
      <c r="J861" s="90"/>
      <c r="K861" s="90"/>
      <c r="L861" s="90"/>
      <c r="M861" s="90"/>
      <c r="N861" s="90"/>
      <c r="O861" s="90"/>
    </row>
    <row r="862" spans="4:15">
      <c r="D862" s="90"/>
      <c r="E862" s="90"/>
      <c r="F862" s="90"/>
      <c r="G862" s="90"/>
      <c r="H862" s="90"/>
      <c r="I862" s="90"/>
      <c r="J862" s="90"/>
      <c r="K862" s="90"/>
      <c r="L862" s="90"/>
      <c r="M862" s="90"/>
      <c r="N862" s="90"/>
      <c r="O862" s="90"/>
    </row>
    <row r="863" spans="4:15">
      <c r="D863" s="90"/>
      <c r="E863" s="90"/>
      <c r="F863" s="90"/>
      <c r="G863" s="90"/>
      <c r="H863" s="90"/>
      <c r="I863" s="90"/>
      <c r="J863" s="90"/>
      <c r="K863" s="90"/>
      <c r="L863" s="90"/>
      <c r="M863" s="90"/>
      <c r="N863" s="90"/>
      <c r="O863" s="90"/>
    </row>
    <row r="864" spans="4:15">
      <c r="D864" s="90"/>
      <c r="E864" s="90"/>
      <c r="F864" s="90"/>
      <c r="G864" s="90"/>
      <c r="H864" s="90"/>
      <c r="I864" s="90"/>
      <c r="J864" s="90"/>
      <c r="K864" s="90"/>
      <c r="L864" s="90"/>
      <c r="M864" s="90"/>
      <c r="N864" s="90"/>
      <c r="O864" s="90"/>
    </row>
    <row r="865" spans="4:15">
      <c r="D865" s="90"/>
      <c r="E865" s="90"/>
      <c r="F865" s="90"/>
      <c r="G865" s="90"/>
      <c r="H865" s="90"/>
      <c r="I865" s="90"/>
      <c r="J865" s="90"/>
      <c r="K865" s="90"/>
      <c r="L865" s="90"/>
      <c r="M865" s="90"/>
      <c r="N865" s="90"/>
      <c r="O865" s="90"/>
    </row>
    <row r="866" spans="4:15">
      <c r="D866" s="90"/>
      <c r="E866" s="90"/>
      <c r="F866" s="90"/>
      <c r="G866" s="90"/>
      <c r="H866" s="90"/>
      <c r="I866" s="90"/>
      <c r="J866" s="90"/>
      <c r="K866" s="90"/>
      <c r="L866" s="90"/>
      <c r="M866" s="90"/>
      <c r="N866" s="90"/>
      <c r="O866" s="90"/>
    </row>
    <row r="867" spans="4:15">
      <c r="D867" s="90"/>
      <c r="E867" s="90"/>
      <c r="F867" s="90"/>
      <c r="G867" s="90"/>
      <c r="H867" s="90"/>
      <c r="I867" s="90"/>
      <c r="J867" s="90"/>
      <c r="K867" s="90"/>
      <c r="L867" s="90"/>
      <c r="M867" s="90"/>
      <c r="N867" s="90"/>
      <c r="O867" s="90"/>
    </row>
    <row r="868" spans="4:15">
      <c r="D868" s="90"/>
      <c r="E868" s="90"/>
      <c r="F868" s="90"/>
      <c r="G868" s="90"/>
      <c r="H868" s="90"/>
      <c r="I868" s="90"/>
      <c r="J868" s="90"/>
      <c r="K868" s="90"/>
      <c r="L868" s="90"/>
      <c r="M868" s="90"/>
      <c r="N868" s="90"/>
      <c r="O868" s="90"/>
    </row>
    <row r="869" spans="4:15">
      <c r="D869" s="90"/>
      <c r="E869" s="90"/>
      <c r="F869" s="90"/>
      <c r="G869" s="90"/>
      <c r="H869" s="90"/>
      <c r="I869" s="90"/>
      <c r="J869" s="90"/>
      <c r="K869" s="90"/>
      <c r="L869" s="90"/>
      <c r="M869" s="90"/>
      <c r="N869" s="90"/>
      <c r="O869" s="90"/>
    </row>
    <row r="870" spans="4:15">
      <c r="D870" s="90"/>
      <c r="E870" s="90"/>
      <c r="F870" s="90"/>
      <c r="G870" s="90"/>
      <c r="H870" s="90"/>
      <c r="I870" s="90"/>
      <c r="J870" s="90"/>
      <c r="K870" s="90"/>
      <c r="L870" s="90"/>
      <c r="M870" s="90"/>
      <c r="N870" s="90"/>
      <c r="O870" s="90"/>
    </row>
    <row r="871" spans="4:15">
      <c r="D871" s="90"/>
      <c r="E871" s="90"/>
      <c r="F871" s="90"/>
      <c r="G871" s="90"/>
      <c r="H871" s="90"/>
      <c r="I871" s="90"/>
      <c r="J871" s="90"/>
      <c r="K871" s="90"/>
      <c r="L871" s="90"/>
      <c r="M871" s="90"/>
      <c r="N871" s="90"/>
      <c r="O871" s="90"/>
    </row>
    <row r="872" spans="4:15">
      <c r="D872" s="90"/>
      <c r="E872" s="90"/>
      <c r="F872" s="90"/>
      <c r="G872" s="90"/>
      <c r="H872" s="90"/>
      <c r="I872" s="90"/>
      <c r="J872" s="90"/>
      <c r="K872" s="90"/>
      <c r="L872" s="90"/>
      <c r="M872" s="90"/>
      <c r="N872" s="90"/>
      <c r="O872" s="90"/>
    </row>
    <row r="873" spans="4:15">
      <c r="D873" s="90"/>
      <c r="E873" s="90"/>
      <c r="F873" s="90"/>
      <c r="G873" s="90"/>
      <c r="H873" s="90"/>
      <c r="I873" s="90"/>
      <c r="J873" s="90"/>
      <c r="K873" s="90"/>
      <c r="L873" s="90"/>
      <c r="M873" s="90"/>
      <c r="N873" s="90"/>
      <c r="O873" s="90"/>
    </row>
    <row r="874" spans="4:15">
      <c r="D874" s="90"/>
      <c r="E874" s="90"/>
      <c r="F874" s="90"/>
      <c r="G874" s="90"/>
      <c r="H874" s="90"/>
      <c r="I874" s="90"/>
      <c r="J874" s="90"/>
      <c r="K874" s="90"/>
      <c r="L874" s="90"/>
      <c r="M874" s="90"/>
      <c r="N874" s="90"/>
      <c r="O874" s="90"/>
    </row>
    <row r="875" spans="4:15">
      <c r="D875" s="90"/>
      <c r="E875" s="90"/>
      <c r="F875" s="90"/>
      <c r="G875" s="90"/>
      <c r="H875" s="90"/>
      <c r="I875" s="90"/>
      <c r="J875" s="90"/>
      <c r="K875" s="90"/>
      <c r="L875" s="90"/>
      <c r="M875" s="90"/>
      <c r="N875" s="90"/>
      <c r="O875" s="90"/>
    </row>
    <row r="876" spans="4:15">
      <c r="D876" s="90"/>
      <c r="E876" s="90"/>
      <c r="F876" s="90"/>
      <c r="G876" s="90"/>
      <c r="H876" s="90"/>
      <c r="I876" s="90"/>
      <c r="J876" s="90"/>
      <c r="K876" s="90"/>
      <c r="L876" s="90"/>
      <c r="M876" s="90"/>
      <c r="N876" s="90"/>
      <c r="O876" s="90"/>
    </row>
    <row r="877" spans="4:15">
      <c r="D877" s="90"/>
      <c r="E877" s="90"/>
      <c r="F877" s="90"/>
      <c r="G877" s="90"/>
      <c r="H877" s="90"/>
      <c r="I877" s="90"/>
      <c r="J877" s="90"/>
      <c r="K877" s="90"/>
      <c r="L877" s="90"/>
      <c r="M877" s="90"/>
      <c r="N877" s="90"/>
      <c r="O877" s="90"/>
    </row>
    <row r="878" spans="4:15">
      <c r="D878" s="90"/>
      <c r="E878" s="90"/>
      <c r="F878" s="90"/>
      <c r="G878" s="90"/>
      <c r="H878" s="90"/>
      <c r="I878" s="90"/>
      <c r="J878" s="90"/>
      <c r="K878" s="90"/>
      <c r="L878" s="90"/>
      <c r="M878" s="90"/>
      <c r="N878" s="90"/>
      <c r="O878" s="90"/>
    </row>
    <row r="879" spans="4:15">
      <c r="D879" s="90"/>
      <c r="E879" s="90"/>
      <c r="F879" s="90"/>
      <c r="G879" s="90"/>
      <c r="H879" s="90"/>
      <c r="I879" s="90"/>
      <c r="J879" s="90"/>
      <c r="K879" s="90"/>
      <c r="L879" s="90"/>
      <c r="M879" s="90"/>
      <c r="N879" s="90"/>
      <c r="O879" s="90"/>
    </row>
    <row r="880" spans="4:15">
      <c r="D880" s="90"/>
      <c r="E880" s="90"/>
      <c r="F880" s="90"/>
      <c r="G880" s="90"/>
      <c r="H880" s="90"/>
      <c r="I880" s="90"/>
      <c r="J880" s="90"/>
      <c r="K880" s="90"/>
      <c r="L880" s="90"/>
      <c r="M880" s="90"/>
      <c r="N880" s="90"/>
      <c r="O880" s="90"/>
    </row>
    <row r="881" spans="4:15">
      <c r="D881" s="90"/>
      <c r="E881" s="90"/>
      <c r="F881" s="90"/>
      <c r="G881" s="90"/>
      <c r="H881" s="90"/>
      <c r="I881" s="90"/>
      <c r="J881" s="90"/>
      <c r="K881" s="90"/>
      <c r="L881" s="90"/>
      <c r="M881" s="90"/>
      <c r="N881" s="90"/>
      <c r="O881" s="90"/>
    </row>
    <row r="882" spans="4:15">
      <c r="D882" s="90"/>
      <c r="E882" s="90"/>
      <c r="F882" s="90"/>
      <c r="G882" s="90"/>
      <c r="H882" s="90"/>
      <c r="I882" s="90"/>
      <c r="J882" s="90"/>
      <c r="K882" s="90"/>
      <c r="L882" s="90"/>
      <c r="M882" s="90"/>
      <c r="N882" s="90"/>
      <c r="O882" s="90"/>
    </row>
    <row r="883" spans="4:15">
      <c r="D883" s="90"/>
      <c r="E883" s="90"/>
      <c r="F883" s="90"/>
      <c r="G883" s="90"/>
      <c r="H883" s="90"/>
      <c r="I883" s="90"/>
      <c r="J883" s="90"/>
      <c r="K883" s="90"/>
      <c r="L883" s="90"/>
      <c r="M883" s="90"/>
      <c r="N883" s="90"/>
      <c r="O883" s="90"/>
    </row>
    <row r="884" spans="4:15">
      <c r="D884" s="90"/>
      <c r="E884" s="90"/>
      <c r="F884" s="90"/>
      <c r="G884" s="90"/>
      <c r="H884" s="90"/>
      <c r="I884" s="90"/>
      <c r="J884" s="90"/>
      <c r="K884" s="90"/>
      <c r="L884" s="90"/>
      <c r="M884" s="90"/>
      <c r="N884" s="90"/>
      <c r="O884" s="90"/>
    </row>
    <row r="885" spans="4:15">
      <c r="D885" s="90"/>
      <c r="E885" s="90"/>
      <c r="F885" s="90"/>
      <c r="G885" s="90"/>
      <c r="H885" s="90"/>
      <c r="I885" s="90"/>
      <c r="J885" s="90"/>
      <c r="K885" s="90"/>
      <c r="L885" s="90"/>
      <c r="M885" s="90"/>
      <c r="N885" s="90"/>
      <c r="O885" s="90"/>
    </row>
    <row r="886" spans="4:15">
      <c r="D886" s="90"/>
      <c r="E886" s="90"/>
      <c r="F886" s="90"/>
      <c r="G886" s="90"/>
      <c r="H886" s="90"/>
      <c r="I886" s="90"/>
      <c r="J886" s="90"/>
      <c r="K886" s="90"/>
      <c r="L886" s="90"/>
      <c r="M886" s="90"/>
      <c r="N886" s="90"/>
      <c r="O886" s="90"/>
    </row>
    <row r="887" spans="4:15">
      <c r="D887" s="90"/>
      <c r="E887" s="90"/>
      <c r="F887" s="90"/>
      <c r="G887" s="90"/>
      <c r="H887" s="90"/>
      <c r="I887" s="90"/>
      <c r="J887" s="90"/>
      <c r="K887" s="90"/>
      <c r="L887" s="90"/>
      <c r="M887" s="90"/>
      <c r="N887" s="90"/>
      <c r="O887" s="90"/>
    </row>
    <row r="888" spans="4:15">
      <c r="D888" s="90"/>
      <c r="E888" s="90"/>
      <c r="F888" s="90"/>
      <c r="G888" s="90"/>
      <c r="H888" s="90"/>
      <c r="I888" s="90"/>
      <c r="J888" s="90"/>
      <c r="K888" s="90"/>
      <c r="L888" s="90"/>
      <c r="M888" s="90"/>
      <c r="N888" s="90"/>
      <c r="O888" s="90"/>
    </row>
    <row r="889" spans="4:15">
      <c r="D889" s="90"/>
      <c r="E889" s="90"/>
      <c r="F889" s="90"/>
      <c r="G889" s="90"/>
      <c r="H889" s="90"/>
      <c r="I889" s="90"/>
      <c r="J889" s="90"/>
      <c r="K889" s="90"/>
      <c r="L889" s="90"/>
      <c r="M889" s="90"/>
      <c r="N889" s="90"/>
      <c r="O889" s="90"/>
    </row>
    <row r="890" spans="4:15">
      <c r="D890" s="90"/>
      <c r="E890" s="90"/>
      <c r="F890" s="90"/>
      <c r="G890" s="90"/>
      <c r="H890" s="90"/>
      <c r="I890" s="90"/>
      <c r="J890" s="90"/>
      <c r="K890" s="90"/>
      <c r="L890" s="90"/>
      <c r="M890" s="90"/>
      <c r="N890" s="90"/>
      <c r="O890" s="90"/>
    </row>
    <row r="891" spans="4:15">
      <c r="D891" s="90"/>
      <c r="E891" s="90"/>
      <c r="F891" s="90"/>
      <c r="G891" s="90"/>
      <c r="H891" s="90"/>
      <c r="I891" s="90"/>
      <c r="J891" s="90"/>
      <c r="K891" s="90"/>
      <c r="L891" s="90"/>
      <c r="M891" s="90"/>
      <c r="N891" s="90"/>
      <c r="O891" s="90"/>
    </row>
    <row r="892" spans="4:15">
      <c r="D892" s="90"/>
      <c r="E892" s="90"/>
      <c r="F892" s="90"/>
      <c r="G892" s="90"/>
      <c r="H892" s="90"/>
      <c r="I892" s="90"/>
      <c r="J892" s="90"/>
      <c r="K892" s="90"/>
      <c r="L892" s="90"/>
      <c r="M892" s="90"/>
      <c r="N892" s="90"/>
      <c r="O892" s="90"/>
    </row>
    <row r="893" spans="4:15">
      <c r="D893" s="90"/>
      <c r="E893" s="90"/>
      <c r="F893" s="90"/>
      <c r="G893" s="90"/>
      <c r="H893" s="90"/>
      <c r="I893" s="90"/>
      <c r="J893" s="90"/>
      <c r="K893" s="90"/>
      <c r="L893" s="90"/>
      <c r="M893" s="90"/>
      <c r="N893" s="90"/>
      <c r="O893" s="90"/>
    </row>
    <row r="894" spans="4:15">
      <c r="D894" s="90"/>
      <c r="E894" s="90"/>
      <c r="F894" s="90"/>
      <c r="G894" s="90"/>
      <c r="H894" s="90"/>
      <c r="I894" s="90"/>
      <c r="J894" s="90"/>
      <c r="K894" s="90"/>
      <c r="L894" s="90"/>
      <c r="M894" s="90"/>
      <c r="N894" s="90"/>
      <c r="O894" s="90"/>
    </row>
    <row r="895" spans="4:15">
      <c r="D895" s="90"/>
      <c r="E895" s="90"/>
      <c r="F895" s="90"/>
      <c r="G895" s="90"/>
      <c r="H895" s="90"/>
      <c r="I895" s="90"/>
      <c r="J895" s="90"/>
      <c r="K895" s="90"/>
      <c r="L895" s="90"/>
      <c r="M895" s="90"/>
      <c r="N895" s="90"/>
      <c r="O895" s="90"/>
    </row>
    <row r="896" spans="4:15">
      <c r="D896" s="90"/>
      <c r="E896" s="90"/>
      <c r="F896" s="90"/>
      <c r="G896" s="90"/>
      <c r="H896" s="90"/>
      <c r="I896" s="90"/>
      <c r="J896" s="90"/>
      <c r="K896" s="90"/>
      <c r="L896" s="90"/>
      <c r="M896" s="90"/>
      <c r="N896" s="90"/>
      <c r="O896" s="90"/>
    </row>
    <row r="897" spans="4:15">
      <c r="D897" s="90"/>
      <c r="E897" s="90"/>
      <c r="F897" s="90"/>
      <c r="G897" s="90"/>
      <c r="H897" s="90"/>
      <c r="I897" s="90"/>
      <c r="J897" s="90"/>
      <c r="K897" s="90"/>
      <c r="L897" s="90"/>
      <c r="M897" s="90"/>
      <c r="N897" s="90"/>
      <c r="O897" s="90"/>
    </row>
    <row r="898" spans="4:15">
      <c r="D898" s="90"/>
      <c r="E898" s="90"/>
      <c r="F898" s="90"/>
      <c r="G898" s="90"/>
      <c r="H898" s="90"/>
      <c r="I898" s="90"/>
      <c r="J898" s="90"/>
      <c r="K898" s="90"/>
      <c r="L898" s="90"/>
      <c r="M898" s="90"/>
      <c r="N898" s="90"/>
      <c r="O898" s="90"/>
    </row>
    <row r="899" spans="4:15">
      <c r="D899" s="90"/>
      <c r="E899" s="90"/>
      <c r="F899" s="90"/>
      <c r="G899" s="90"/>
      <c r="H899" s="90"/>
      <c r="I899" s="90"/>
      <c r="J899" s="90"/>
      <c r="K899" s="90"/>
      <c r="L899" s="90"/>
      <c r="M899" s="90"/>
      <c r="N899" s="90"/>
      <c r="O899" s="90"/>
    </row>
    <row r="900" spans="4:15">
      <c r="D900" s="90"/>
      <c r="E900" s="90"/>
      <c r="F900" s="90"/>
      <c r="G900" s="90"/>
      <c r="H900" s="90"/>
      <c r="I900" s="90"/>
      <c r="J900" s="90"/>
      <c r="K900" s="90"/>
      <c r="L900" s="90"/>
      <c r="M900" s="90"/>
      <c r="N900" s="90"/>
      <c r="O900" s="90"/>
    </row>
    <row r="901" spans="4:15">
      <c r="D901" s="90"/>
      <c r="E901" s="90"/>
      <c r="F901" s="90"/>
      <c r="G901" s="90"/>
      <c r="H901" s="90"/>
      <c r="I901" s="90"/>
      <c r="J901" s="90"/>
      <c r="K901" s="90"/>
      <c r="L901" s="90"/>
      <c r="M901" s="90"/>
      <c r="N901" s="90"/>
      <c r="O901" s="90"/>
    </row>
    <row r="902" spans="4:15">
      <c r="D902" s="90"/>
      <c r="E902" s="90"/>
      <c r="F902" s="90"/>
      <c r="G902" s="90"/>
      <c r="H902" s="90"/>
      <c r="I902" s="90"/>
      <c r="J902" s="90"/>
      <c r="K902" s="90"/>
      <c r="L902" s="90"/>
      <c r="M902" s="90"/>
      <c r="N902" s="90"/>
      <c r="O902" s="90"/>
    </row>
  </sheetData>
  <mergeCells count="377">
    <mergeCell ref="C333:D333"/>
    <mergeCell ref="C334:D334"/>
    <mergeCell ref="A335:D335"/>
    <mergeCell ref="C327:D327"/>
    <mergeCell ref="A328:D328"/>
    <mergeCell ref="A329:D329"/>
    <mergeCell ref="C330:D330"/>
    <mergeCell ref="C331:D331"/>
    <mergeCell ref="C332:D332"/>
    <mergeCell ref="A321:D321"/>
    <mergeCell ref="A322:D322"/>
    <mergeCell ref="C323:D323"/>
    <mergeCell ref="C324:D324"/>
    <mergeCell ref="A325:D325"/>
    <mergeCell ref="C326:D326"/>
    <mergeCell ref="C316:D316"/>
    <mergeCell ref="C317:D317"/>
    <mergeCell ref="B318:B320"/>
    <mergeCell ref="C318:D318"/>
    <mergeCell ref="C319:D319"/>
    <mergeCell ref="C320:D320"/>
    <mergeCell ref="B311:B312"/>
    <mergeCell ref="C311:D311"/>
    <mergeCell ref="C312:D312"/>
    <mergeCell ref="C313:D313"/>
    <mergeCell ref="C314:D314"/>
    <mergeCell ref="C315:D315"/>
    <mergeCell ref="C305:D305"/>
    <mergeCell ref="C306:D306"/>
    <mergeCell ref="C307:D307"/>
    <mergeCell ref="C308:D308"/>
    <mergeCell ref="C309:D309"/>
    <mergeCell ref="C310:D310"/>
    <mergeCell ref="C299:D299"/>
    <mergeCell ref="C300:D300"/>
    <mergeCell ref="C301:D301"/>
    <mergeCell ref="C302:D302"/>
    <mergeCell ref="C303:D303"/>
    <mergeCell ref="C304:D304"/>
    <mergeCell ref="C294:D294"/>
    <mergeCell ref="B295:B296"/>
    <mergeCell ref="C295:D295"/>
    <mergeCell ref="C296:D296"/>
    <mergeCell ref="C297:D297"/>
    <mergeCell ref="C298:D298"/>
    <mergeCell ref="A288:D288"/>
    <mergeCell ref="A289:D289"/>
    <mergeCell ref="C290:D290"/>
    <mergeCell ref="C291:D291"/>
    <mergeCell ref="C292:D292"/>
    <mergeCell ref="C293:D293"/>
    <mergeCell ref="C283:D283"/>
    <mergeCell ref="C284:D284"/>
    <mergeCell ref="C285:D285"/>
    <mergeCell ref="B286:B287"/>
    <mergeCell ref="C286:D286"/>
    <mergeCell ref="C287:D287"/>
    <mergeCell ref="C274:D274"/>
    <mergeCell ref="C275:D275"/>
    <mergeCell ref="C276:D276"/>
    <mergeCell ref="A277:D277"/>
    <mergeCell ref="B278:B284"/>
    <mergeCell ref="C278:D278"/>
    <mergeCell ref="C279:D279"/>
    <mergeCell ref="C280:D280"/>
    <mergeCell ref="C281:D281"/>
    <mergeCell ref="C282:D282"/>
    <mergeCell ref="C268:D268"/>
    <mergeCell ref="C269:D269"/>
    <mergeCell ref="A270:D270"/>
    <mergeCell ref="A271:D271"/>
    <mergeCell ref="B272:B273"/>
    <mergeCell ref="C272:D272"/>
    <mergeCell ref="C273:D273"/>
    <mergeCell ref="C261:D261"/>
    <mergeCell ref="C262:D262"/>
    <mergeCell ref="C263:D263"/>
    <mergeCell ref="C264:D264"/>
    <mergeCell ref="B265:B267"/>
    <mergeCell ref="C265:D265"/>
    <mergeCell ref="C266:D266"/>
    <mergeCell ref="C267:D267"/>
    <mergeCell ref="C255:D255"/>
    <mergeCell ref="C256:D256"/>
    <mergeCell ref="C257:D257"/>
    <mergeCell ref="C258:D258"/>
    <mergeCell ref="C259:D259"/>
    <mergeCell ref="C260:D260"/>
    <mergeCell ref="C249:D249"/>
    <mergeCell ref="C250:D250"/>
    <mergeCell ref="C251:D251"/>
    <mergeCell ref="C252:D252"/>
    <mergeCell ref="C253:D253"/>
    <mergeCell ref="C254:D254"/>
    <mergeCell ref="C243:D243"/>
    <mergeCell ref="C244:D244"/>
    <mergeCell ref="C245:D245"/>
    <mergeCell ref="C246:D246"/>
    <mergeCell ref="C247:D247"/>
    <mergeCell ref="C248:D248"/>
    <mergeCell ref="C237:D237"/>
    <mergeCell ref="C238:D238"/>
    <mergeCell ref="C239:D239"/>
    <mergeCell ref="C240:D240"/>
    <mergeCell ref="C241:D241"/>
    <mergeCell ref="C242:D242"/>
    <mergeCell ref="B232:B233"/>
    <mergeCell ref="C232:D232"/>
    <mergeCell ref="C233:D233"/>
    <mergeCell ref="C234:D234"/>
    <mergeCell ref="C235:D235"/>
    <mergeCell ref="C236:D236"/>
    <mergeCell ref="A223:D223"/>
    <mergeCell ref="B224:B231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A218:D218"/>
    <mergeCell ref="B219:B220"/>
    <mergeCell ref="C219:D219"/>
    <mergeCell ref="C220:D220"/>
    <mergeCell ref="C221:D221"/>
    <mergeCell ref="A222:D222"/>
    <mergeCell ref="C212:D212"/>
    <mergeCell ref="C213:D213"/>
    <mergeCell ref="C214:D214"/>
    <mergeCell ref="C215:D215"/>
    <mergeCell ref="C216:D216"/>
    <mergeCell ref="C217:D217"/>
    <mergeCell ref="A207:D207"/>
    <mergeCell ref="B208:B211"/>
    <mergeCell ref="C208:D208"/>
    <mergeCell ref="C209:D209"/>
    <mergeCell ref="C210:D210"/>
    <mergeCell ref="C211:D211"/>
    <mergeCell ref="A202:D202"/>
    <mergeCell ref="C203:D203"/>
    <mergeCell ref="C204:D204"/>
    <mergeCell ref="B205:B206"/>
    <mergeCell ref="C205:D205"/>
    <mergeCell ref="C206:D206"/>
    <mergeCell ref="A197:D197"/>
    <mergeCell ref="A198:D198"/>
    <mergeCell ref="C199:D199"/>
    <mergeCell ref="B200:B201"/>
    <mergeCell ref="C200:D200"/>
    <mergeCell ref="C201:D201"/>
    <mergeCell ref="C192:D192"/>
    <mergeCell ref="B193:B194"/>
    <mergeCell ref="C193:D193"/>
    <mergeCell ref="C194:D194"/>
    <mergeCell ref="C195:D195"/>
    <mergeCell ref="C196:D196"/>
    <mergeCell ref="C187:D187"/>
    <mergeCell ref="B188:B189"/>
    <mergeCell ref="C188:D188"/>
    <mergeCell ref="C189:D189"/>
    <mergeCell ref="B190:B191"/>
    <mergeCell ref="C190:D190"/>
    <mergeCell ref="C191:D191"/>
    <mergeCell ref="E179:F179"/>
    <mergeCell ref="C180:D180"/>
    <mergeCell ref="C181:D181"/>
    <mergeCell ref="C182:D182"/>
    <mergeCell ref="C183:D183"/>
    <mergeCell ref="B184:B186"/>
    <mergeCell ref="C184:D184"/>
    <mergeCell ref="C185:D185"/>
    <mergeCell ref="C186:D186"/>
    <mergeCell ref="C173:D173"/>
    <mergeCell ref="C174:D174"/>
    <mergeCell ref="C175:D175"/>
    <mergeCell ref="A176:D176"/>
    <mergeCell ref="A177:D177"/>
    <mergeCell ref="B178:B180"/>
    <mergeCell ref="C178:D178"/>
    <mergeCell ref="C179:D179"/>
    <mergeCell ref="C168:D168"/>
    <mergeCell ref="C169:D169"/>
    <mergeCell ref="B170:B171"/>
    <mergeCell ref="C170:D170"/>
    <mergeCell ref="C171:D171"/>
    <mergeCell ref="C172:D172"/>
    <mergeCell ref="B163:B165"/>
    <mergeCell ref="C163:D163"/>
    <mergeCell ref="C164:D164"/>
    <mergeCell ref="C165:D165"/>
    <mergeCell ref="B166:B167"/>
    <mergeCell ref="C166:D166"/>
    <mergeCell ref="C167:D167"/>
    <mergeCell ref="C157:D157"/>
    <mergeCell ref="C158:D158"/>
    <mergeCell ref="C159:D159"/>
    <mergeCell ref="C160:D160"/>
    <mergeCell ref="C161:D161"/>
    <mergeCell ref="A162:D162"/>
    <mergeCell ref="C150:D150"/>
    <mergeCell ref="C151:D151"/>
    <mergeCell ref="C152:D152"/>
    <mergeCell ref="C153:D153"/>
    <mergeCell ref="B154:B156"/>
    <mergeCell ref="C154:D154"/>
    <mergeCell ref="C155:D155"/>
    <mergeCell ref="C156:D156"/>
    <mergeCell ref="C144:D144"/>
    <mergeCell ref="C145:D145"/>
    <mergeCell ref="C146:D146"/>
    <mergeCell ref="C147:D147"/>
    <mergeCell ref="A148:D148"/>
    <mergeCell ref="C149:D149"/>
    <mergeCell ref="C137:D137"/>
    <mergeCell ref="C138:D138"/>
    <mergeCell ref="C139:D139"/>
    <mergeCell ref="C140:D140"/>
    <mergeCell ref="C141:D141"/>
    <mergeCell ref="B142:B143"/>
    <mergeCell ref="C142:D142"/>
    <mergeCell ref="C143:D143"/>
    <mergeCell ref="C130:D130"/>
    <mergeCell ref="C131:D131"/>
    <mergeCell ref="C132:D132"/>
    <mergeCell ref="C133:D133"/>
    <mergeCell ref="A134:D134"/>
    <mergeCell ref="B135:B136"/>
    <mergeCell ref="C135:D135"/>
    <mergeCell ref="C136:D136"/>
    <mergeCell ref="C123:D123"/>
    <mergeCell ref="C124:D124"/>
    <mergeCell ref="C125:D125"/>
    <mergeCell ref="A126:D126"/>
    <mergeCell ref="A127:D127"/>
    <mergeCell ref="B128:B129"/>
    <mergeCell ref="C128:D128"/>
    <mergeCell ref="C129:D129"/>
    <mergeCell ref="C117:D117"/>
    <mergeCell ref="C118:D118"/>
    <mergeCell ref="C119:D119"/>
    <mergeCell ref="A120:D120"/>
    <mergeCell ref="C121:D121"/>
    <mergeCell ref="C122:D122"/>
    <mergeCell ref="C111:D111"/>
    <mergeCell ref="C112:D112"/>
    <mergeCell ref="C113:D113"/>
    <mergeCell ref="C114:D114"/>
    <mergeCell ref="C115:D115"/>
    <mergeCell ref="A116:D116"/>
    <mergeCell ref="A106:D106"/>
    <mergeCell ref="A107:D107"/>
    <mergeCell ref="B108:B110"/>
    <mergeCell ref="C108:D108"/>
    <mergeCell ref="C109:D109"/>
    <mergeCell ref="C110:D110"/>
    <mergeCell ref="C99:D99"/>
    <mergeCell ref="B100:B101"/>
    <mergeCell ref="C100:D100"/>
    <mergeCell ref="C101:D101"/>
    <mergeCell ref="A102:D102"/>
    <mergeCell ref="B103:B105"/>
    <mergeCell ref="C103:D103"/>
    <mergeCell ref="C104:D104"/>
    <mergeCell ref="C105:D105"/>
    <mergeCell ref="C92:D92"/>
    <mergeCell ref="C93:D93"/>
    <mergeCell ref="C94:D94"/>
    <mergeCell ref="C95:D95"/>
    <mergeCell ref="A96:D96"/>
    <mergeCell ref="B97:B98"/>
    <mergeCell ref="C97:D97"/>
    <mergeCell ref="C98:D98"/>
    <mergeCell ref="C87:D87"/>
    <mergeCell ref="A88:D88"/>
    <mergeCell ref="B89:B91"/>
    <mergeCell ref="C89:D89"/>
    <mergeCell ref="C90:D90"/>
    <mergeCell ref="C91:D91"/>
    <mergeCell ref="C82:D82"/>
    <mergeCell ref="C83:D83"/>
    <mergeCell ref="C84:D84"/>
    <mergeCell ref="B85:B86"/>
    <mergeCell ref="C85:D85"/>
    <mergeCell ref="C86:D86"/>
    <mergeCell ref="B77:B81"/>
    <mergeCell ref="C77:D77"/>
    <mergeCell ref="C78:D78"/>
    <mergeCell ref="C79:D79"/>
    <mergeCell ref="C80:D80"/>
    <mergeCell ref="C81:D81"/>
    <mergeCell ref="B71:B76"/>
    <mergeCell ref="C71:D71"/>
    <mergeCell ref="C72:D72"/>
    <mergeCell ref="C73:D73"/>
    <mergeCell ref="C74:D74"/>
    <mergeCell ref="C75:D75"/>
    <mergeCell ref="C76:D76"/>
    <mergeCell ref="A65:D65"/>
    <mergeCell ref="B66:B68"/>
    <mergeCell ref="C66:D66"/>
    <mergeCell ref="C67:D67"/>
    <mergeCell ref="C68:D68"/>
    <mergeCell ref="B69:B70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B39:B57"/>
    <mergeCell ref="C39:D39"/>
    <mergeCell ref="C40:D40"/>
    <mergeCell ref="E40:F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A38:D38"/>
    <mergeCell ref="B25:B37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B13:B16"/>
    <mergeCell ref="C13:D13"/>
    <mergeCell ref="C14:D14"/>
    <mergeCell ref="C15:D15"/>
    <mergeCell ref="C16:D16"/>
    <mergeCell ref="C17:D17"/>
    <mergeCell ref="A24:D24"/>
    <mergeCell ref="C10:D10"/>
    <mergeCell ref="B11:B12"/>
    <mergeCell ref="C11:D11"/>
    <mergeCell ref="C12:D12"/>
    <mergeCell ref="B1:D1"/>
    <mergeCell ref="C18:D18"/>
    <mergeCell ref="C19:D19"/>
    <mergeCell ref="C20:D20"/>
    <mergeCell ref="A21:D21"/>
    <mergeCell ref="P1:R1"/>
    <mergeCell ref="A3:D3"/>
    <mergeCell ref="A4:D4"/>
    <mergeCell ref="C5:D5"/>
    <mergeCell ref="C6:D6"/>
    <mergeCell ref="C7:D7"/>
    <mergeCell ref="B8:B9"/>
    <mergeCell ref="C8:D8"/>
    <mergeCell ref="C9:D9"/>
  </mergeCells>
  <printOptions horizontalCentered="1" verticalCentered="1"/>
  <pageMargins left="0.35433070866141703" right="0" top="1.5748031496063" bottom="0.73" header="0.78740157480314998" footer="0.43307086614173201"/>
  <pageSetup paperSize="9" scale="40" orientation="landscape" r:id="rId1"/>
  <headerFooter alignWithMargins="0">
    <oddHeader xml:space="preserve">&amp;C&amp;"Arial Black,Regular"&amp;18LAGOS STATE GOVERNMENT 
MINISTRY OF ECONOMIC PLANNING AND BUDGET 
Y2015 APPROVED BUDGET    OMNIBUS </oddHeader>
    <oddFooter>&amp;C&amp;"Arial,Bold"&amp;16&amp;P&amp;R&amp;"Arial,Bold"&amp;12&amp;D&amp;T</oddFooter>
  </headerFooter>
  <rowBreaks count="18" manualBreakCount="18">
    <brk id="20" max="32" man="1"/>
    <brk id="37" max="32" man="1"/>
    <brk id="52" max="32" man="1"/>
    <brk id="70" max="32" man="1"/>
    <brk id="87" max="32" man="1"/>
    <brk id="104" max="32" man="1"/>
    <brk id="125" max="32" man="1"/>
    <brk id="147" max="32" man="1"/>
    <brk id="161" max="32" man="1"/>
    <brk id="175" max="32" man="1"/>
    <brk id="192" max="32" man="1"/>
    <brk id="214" max="32" man="1"/>
    <brk id="234" max="32" man="1"/>
    <brk id="256" max="32" man="1"/>
    <brk id="274" max="32" man="1"/>
    <brk id="292" max="32" man="1"/>
    <brk id="312" max="32" man="1"/>
    <brk id="327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Y2015 BUDGET OMNIBUS</vt:lpstr>
      <vt:lpstr>'Y2015 BUDGET OMNIBUS'!Print_Area</vt:lpstr>
      <vt:lpstr>'Y2015 BUDGET OMNIBUS'!Print_Titles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2015-05-04T15:29:06Z</cp:lastPrinted>
  <dcterms:created xsi:type="dcterms:W3CDTF">2015-05-04T11:37:29Z</dcterms:created>
  <dcterms:modified xsi:type="dcterms:W3CDTF">2015-05-13T14:57:31Z</dcterms:modified>
</cp:coreProperties>
</file>